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755" windowWidth="14820" windowHeight="706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</externalReferences>
  <definedNames>
    <definedName name="_C111">TH!$R$10:$R$1094</definedName>
    <definedName name="_C112">TH!$U$10:$U$1094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NXT!$A$11:$N$218</definedName>
    <definedName name="_xlnm._FilterDatabase" localSheetId="1" hidden="1">TH!$A$9:$AE$977</definedName>
    <definedName name="_xlnm._FilterDatabase" localSheetId="17" hidden="1">TK!$A$1:$J$1</definedName>
    <definedName name="_M">TH!$B$10:$B$1094</definedName>
    <definedName name="_N111">TH!$Q$10:$Q$1094</definedName>
    <definedName name="_N112">TH!$T$10:$T$1094</definedName>
    <definedName name="_TM1">IF('IN-TC'!$S$4=1,1,IF('IN-TC'!$S$4=2,4,IF('IN-TC'!$S$4=3,7,10)))</definedName>
    <definedName name="_TM2">IF('IN-TC'!$S$4=1,3,IF('IN-TC'!$S$4=2,6,IF('IN-TC'!$S$4=3,9,12)))</definedName>
    <definedName name="DG">TH!$J$10:$J$1094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'131'!$B$6:$B$29</definedName>
    <definedName name="DSGT1">BTGT!$B$6:$B$130</definedName>
    <definedName name="DSGT2">BTGT!$B$139:$B$244</definedName>
    <definedName name="DSGT3">BTGT!#REF!</definedName>
    <definedName name="DSGT4">BTGT!#REF!</definedName>
    <definedName name="DSKH">'331'!$B$6:$B$10</definedName>
    <definedName name="DSKHusd">'[1]131'!$B$5:$B$15</definedName>
    <definedName name="DSKU">'341'!$B$4:$B$11</definedName>
    <definedName name="DSSP1">BTGT!$B$6:$K$130</definedName>
    <definedName name="DSSP2">BTGT!$B$139:$K$244</definedName>
    <definedName name="DSSP3">BTGT!#REF!</definedName>
    <definedName name="DSSP4">BTGT!#REF!</definedName>
    <definedName name="DSTK">CDPS!$A$10:$D$57</definedName>
    <definedName name="DSTS1">'SO-TS'!$D$14:$D$17</definedName>
    <definedName name="DSTS2">'SO-TS'!#REF!</definedName>
    <definedName name="KH">TH!$H$10:$H$1094</definedName>
    <definedName name="KHC">TH!$M$10:$M$1094</definedName>
    <definedName name="KHN">TH!$L$10:$L$1094</definedName>
    <definedName name="Loai">OFFSET(TH!$N$5,,,COUNTA(TH!$N$5:$N$39404))</definedName>
    <definedName name="Loai1">OFFSET(TH!$P$5,,,COUNTA(TH!$P$5:$P$39404))</definedName>
    <definedName name="Loai10">OFFSET(TH!$O$5,,,COUNTA(TH!$O$5:$O$39156))</definedName>
    <definedName name="Loai2">OFFSET(TH!$S$5,,,COUNTA(TH!$S$5:$S$39404))</definedName>
    <definedName name="Loai3">OFFSET('SO-TS'!$P$14,,,COUNTA('SO-TS'!$P$14:$P$3889))</definedName>
    <definedName name="Loai4">OFFSET(TH!$V$5,,,COUNTA(TH!$V$5:$V$39404))</definedName>
    <definedName name="Loai5">OFFSET(TH!$W$5,,,COUNTA(TH!$W$5:$W$39404))</definedName>
    <definedName name="Loai6">OFFSET(TH!$AA$5,,,COUNTA(TH!$AA$5:$AA$39404))</definedName>
    <definedName name="Loai7">OFFSET(TH!$X$5,,,COUNTA(TH!$X$5:$X$39404))</definedName>
    <definedName name="Loai8">OFFSET(TH!$Y$5,,,COUNTA(TH!$Y$5:$Y$39404))</definedName>
    <definedName name="Loai9">OFFSET(TH!$Z$5,,,COUNTA(TH!$Z$5:$Z$39404))</definedName>
    <definedName name="MH">TH!$F$10:$F$1094</definedName>
    <definedName name="NXT">NXT!$A$12:$A$540</definedName>
    <definedName name="_xlnm.Print_Area" localSheetId="4">'111'!$A$1:$J$78</definedName>
    <definedName name="_xlnm.Print_Area" localSheetId="6">'112'!$A$1:$I$103</definedName>
    <definedName name="_xlnm.Print_Area" localSheetId="7">'131'!$A$1:$H$36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'331'!$A$1:$H$17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BTGT!$A$134:$K$245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NXT!$B$1:$L$223</definedName>
    <definedName name="_xlnm.Print_Area" localSheetId="20">'SO-TS'!$A$1:$O$33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BTGT!$138:$138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TH!$I$10:$I$1094</definedName>
    <definedName name="TH">TH!$K$10:$K$1094</definedName>
    <definedName name="TM">TH!$A$10:$M$1094</definedName>
  </definedNames>
  <calcPr calcId="144525"/>
</workbook>
</file>

<file path=xl/calcChain.xml><?xml version="1.0" encoding="utf-8"?>
<calcChain xmlns="http://schemas.openxmlformats.org/spreadsheetml/2006/main">
  <c r="H108" i="60" l="1"/>
  <c r="H107" i="60"/>
  <c r="H106" i="60"/>
  <c r="H105" i="60"/>
  <c r="H104" i="60"/>
  <c r="H103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8" i="60"/>
  <c r="H87" i="60"/>
  <c r="H86" i="60"/>
  <c r="H85" i="60"/>
  <c r="H84" i="60"/>
  <c r="H83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70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129" i="60"/>
  <c r="H128" i="60"/>
  <c r="H127" i="60"/>
  <c r="H126" i="60"/>
  <c r="H125" i="60"/>
  <c r="H124" i="60"/>
  <c r="H123" i="60"/>
  <c r="H122" i="60"/>
  <c r="H121" i="60"/>
  <c r="H120" i="60"/>
  <c r="H119" i="60"/>
  <c r="H118" i="60"/>
  <c r="H117" i="60"/>
  <c r="H116" i="60"/>
  <c r="H115" i="60"/>
  <c r="H114" i="60"/>
  <c r="H113" i="60"/>
  <c r="H112" i="60"/>
  <c r="H111" i="60"/>
  <c r="H110" i="60"/>
  <c r="H109" i="60"/>
  <c r="J53" i="60" l="1"/>
  <c r="J54" i="60"/>
  <c r="J55" i="60"/>
  <c r="J56" i="60"/>
  <c r="J57" i="60"/>
  <c r="J58" i="60"/>
  <c r="J59" i="60"/>
  <c r="J60" i="60"/>
  <c r="J61" i="60"/>
  <c r="J62" i="60"/>
  <c r="J63" i="60"/>
  <c r="J64" i="60"/>
  <c r="J65" i="60"/>
  <c r="J66" i="60"/>
  <c r="J67" i="60"/>
  <c r="J68" i="60"/>
  <c r="J69" i="60"/>
  <c r="J70" i="60"/>
  <c r="J71" i="60"/>
  <c r="J72" i="60"/>
  <c r="J73" i="60"/>
  <c r="J74" i="60"/>
  <c r="J75" i="60"/>
  <c r="J76" i="60"/>
  <c r="J77" i="60"/>
  <c r="J78" i="60"/>
  <c r="J79" i="60"/>
  <c r="J80" i="60"/>
  <c r="J81" i="60"/>
  <c r="J82" i="60"/>
  <c r="J83" i="60"/>
  <c r="J84" i="60"/>
  <c r="J85" i="60"/>
  <c r="J86" i="60"/>
  <c r="J87" i="60"/>
  <c r="J88" i="60"/>
  <c r="J89" i="60"/>
  <c r="J90" i="60"/>
  <c r="J91" i="60"/>
  <c r="J92" i="60"/>
  <c r="J93" i="60"/>
  <c r="J94" i="60"/>
  <c r="J95" i="60"/>
  <c r="J96" i="60"/>
  <c r="J97" i="60"/>
  <c r="J98" i="60"/>
  <c r="J99" i="60"/>
  <c r="J100" i="60"/>
  <c r="J101" i="60"/>
  <c r="J102" i="60"/>
  <c r="J103" i="60"/>
  <c r="J104" i="60"/>
  <c r="J105" i="60"/>
  <c r="J106" i="60"/>
  <c r="J107" i="60"/>
  <c r="J108" i="60"/>
  <c r="J109" i="60"/>
  <c r="J110" i="60"/>
  <c r="J111" i="60"/>
  <c r="J112" i="60"/>
  <c r="J113" i="60"/>
  <c r="J114" i="60"/>
  <c r="J115" i="60"/>
  <c r="J116" i="60"/>
  <c r="J117" i="60"/>
  <c r="J118" i="60"/>
  <c r="J119" i="60"/>
  <c r="J120" i="60"/>
  <c r="J121" i="60"/>
  <c r="J122" i="60"/>
  <c r="J123" i="60"/>
  <c r="J124" i="60"/>
  <c r="J125" i="60"/>
  <c r="J126" i="60"/>
  <c r="J127" i="60"/>
  <c r="J128" i="60"/>
  <c r="J129" i="60"/>
  <c r="K50" i="34"/>
  <c r="K70" i="34"/>
  <c r="Z71" i="34"/>
  <c r="Y71" i="34"/>
  <c r="U71" i="34"/>
  <c r="T71" i="34"/>
  <c r="S71" i="34"/>
  <c r="O71" i="34"/>
  <c r="N71" i="34"/>
  <c r="C71" i="34"/>
  <c r="B71" i="34" s="1"/>
  <c r="Z70" i="34"/>
  <c r="Y70" i="34"/>
  <c r="U70" i="34"/>
  <c r="T70" i="34"/>
  <c r="S70" i="34"/>
  <c r="O70" i="34"/>
  <c r="N70" i="34"/>
  <c r="C70" i="34"/>
  <c r="B70" i="34" s="1"/>
  <c r="K64" i="34"/>
  <c r="Z65" i="34"/>
  <c r="Y65" i="34"/>
  <c r="U65" i="34"/>
  <c r="T65" i="34"/>
  <c r="S65" i="34"/>
  <c r="O65" i="34"/>
  <c r="N65" i="34"/>
  <c r="C65" i="34"/>
  <c r="B65" i="34" s="1"/>
  <c r="Z64" i="34"/>
  <c r="Y64" i="34"/>
  <c r="U64" i="34"/>
  <c r="T64" i="34"/>
  <c r="S64" i="34"/>
  <c r="O64" i="34"/>
  <c r="N64" i="34"/>
  <c r="C64" i="34"/>
  <c r="B64" i="34" s="1"/>
  <c r="Z51" i="34"/>
  <c r="Y51" i="34"/>
  <c r="U51" i="34"/>
  <c r="T51" i="34"/>
  <c r="S51" i="34"/>
  <c r="O51" i="34"/>
  <c r="N51" i="34"/>
  <c r="C51" i="34"/>
  <c r="B51" i="34" s="1"/>
  <c r="Z50" i="34"/>
  <c r="Y50" i="34"/>
  <c r="U50" i="34"/>
  <c r="T50" i="34"/>
  <c r="S50" i="34"/>
  <c r="O50" i="34"/>
  <c r="N50" i="34"/>
  <c r="C50" i="34"/>
  <c r="B50" i="34" s="1"/>
  <c r="X70" i="34" l="1"/>
  <c r="A70" i="34"/>
  <c r="R70" i="34"/>
  <c r="Q70" i="34"/>
  <c r="V70" i="34"/>
  <c r="AA71" i="34"/>
  <c r="A71" i="34"/>
  <c r="Q71" i="34"/>
  <c r="V71" i="34"/>
  <c r="R71" i="34"/>
  <c r="X71" i="34"/>
  <c r="P71" i="34"/>
  <c r="AA70" i="34"/>
  <c r="P70" i="34"/>
  <c r="X64" i="34"/>
  <c r="A64" i="34"/>
  <c r="AA65" i="34"/>
  <c r="A65" i="34"/>
  <c r="V65" i="34"/>
  <c r="R65" i="34"/>
  <c r="Q65" i="34"/>
  <c r="X65" i="34"/>
  <c r="P65" i="34"/>
  <c r="Q64" i="34"/>
  <c r="R64" i="34"/>
  <c r="V64" i="34"/>
  <c r="AA64" i="34"/>
  <c r="P64" i="34"/>
  <c r="X50" i="34"/>
  <c r="P50" i="34"/>
  <c r="A50" i="34"/>
  <c r="V50" i="34"/>
  <c r="AA50" i="34"/>
  <c r="R50" i="34"/>
  <c r="Q50" i="34"/>
  <c r="AA51" i="34"/>
  <c r="A51" i="34"/>
  <c r="R51" i="34"/>
  <c r="V51" i="34"/>
  <c r="Q51" i="34"/>
  <c r="X51" i="34"/>
  <c r="P51" i="34"/>
  <c r="K149" i="34"/>
  <c r="Z151" i="34"/>
  <c r="Y151" i="34"/>
  <c r="O151" i="34"/>
  <c r="N151" i="34"/>
  <c r="C151" i="34"/>
  <c r="B151" i="34" s="1"/>
  <c r="Z150" i="34"/>
  <c r="Y150" i="34"/>
  <c r="O150" i="34"/>
  <c r="N150" i="34"/>
  <c r="C150" i="34"/>
  <c r="B150" i="34" s="1"/>
  <c r="X150" i="34" s="1"/>
  <c r="S150" i="34" l="1"/>
  <c r="A150" i="34"/>
  <c r="R150" i="34"/>
  <c r="V150" i="34"/>
  <c r="AA151" i="34"/>
  <c r="S151" i="34"/>
  <c r="A151" i="34"/>
  <c r="V151" i="34"/>
  <c r="U151" i="34"/>
  <c r="Q151" i="34"/>
  <c r="X151" i="34"/>
  <c r="T151" i="34"/>
  <c r="P151" i="34"/>
  <c r="R151" i="34"/>
  <c r="P150" i="34"/>
  <c r="Q150" i="34"/>
  <c r="U150" i="34"/>
  <c r="AA150" i="34"/>
  <c r="T150" i="34"/>
  <c r="I346" i="34"/>
  <c r="I343" i="34"/>
  <c r="I342" i="34"/>
  <c r="I340" i="34"/>
  <c r="I307" i="34"/>
  <c r="I301" i="34"/>
  <c r="I298" i="34"/>
  <c r="I297" i="34"/>
  <c r="I293" i="34"/>
  <c r="I292" i="34"/>
  <c r="I290" i="34"/>
  <c r="Z276" i="34" l="1"/>
  <c r="Y276" i="34"/>
  <c r="U276" i="34"/>
  <c r="T276" i="34"/>
  <c r="S276" i="34"/>
  <c r="O276" i="34"/>
  <c r="N276" i="34"/>
  <c r="K263" i="34" l="1"/>
  <c r="I261" i="34"/>
  <c r="I256" i="34"/>
  <c r="K212" i="34" l="1"/>
  <c r="K213" i="34"/>
  <c r="K214" i="34"/>
  <c r="K216" i="34"/>
  <c r="K217" i="34"/>
  <c r="K218" i="34"/>
  <c r="K220" i="34"/>
  <c r="K222" i="34"/>
  <c r="K223" i="34"/>
  <c r="K225" i="34"/>
  <c r="K227" i="34"/>
  <c r="K229" i="34"/>
  <c r="K230" i="34"/>
  <c r="K231" i="34"/>
  <c r="K232" i="34"/>
  <c r="K233" i="34"/>
  <c r="K235" i="34"/>
  <c r="K237" i="34"/>
  <c r="K238" i="34"/>
  <c r="K239" i="34"/>
  <c r="K240" i="34"/>
  <c r="K241" i="34"/>
  <c r="K242" i="34"/>
  <c r="K244" i="34"/>
  <c r="K245" i="34"/>
  <c r="K247" i="34"/>
  <c r="K249" i="34"/>
  <c r="K251" i="34"/>
  <c r="K252" i="34"/>
  <c r="K254" i="34"/>
  <c r="K256" i="34"/>
  <c r="K258" i="34"/>
  <c r="K259" i="34"/>
  <c r="K261" i="34"/>
  <c r="K265" i="34"/>
  <c r="K266" i="34"/>
  <c r="K268" i="34"/>
  <c r="K270" i="34"/>
  <c r="K271" i="34"/>
  <c r="K273" i="34"/>
  <c r="K275" i="34"/>
  <c r="K277" i="34"/>
  <c r="K279" i="34"/>
  <c r="K280" i="34"/>
  <c r="K281" i="34"/>
  <c r="K283" i="34"/>
  <c r="K284" i="34"/>
  <c r="K285" i="34"/>
  <c r="K286" i="34"/>
  <c r="K288" i="34"/>
  <c r="K290" i="34"/>
  <c r="K292" i="34"/>
  <c r="K293" i="34"/>
  <c r="K294" i="34"/>
  <c r="K295" i="34"/>
  <c r="K297" i="34"/>
  <c r="K298" i="34"/>
  <c r="K299" i="34"/>
  <c r="K301" i="34"/>
  <c r="K303" i="34"/>
  <c r="K305" i="34"/>
  <c r="K307" i="34"/>
  <c r="K309" i="34"/>
  <c r="K310" i="34"/>
  <c r="K312" i="34"/>
  <c r="K314" i="34"/>
  <c r="K315" i="34"/>
  <c r="K316" i="34"/>
  <c r="K317" i="34"/>
  <c r="K318" i="34"/>
  <c r="K320" i="34"/>
  <c r="K322" i="34"/>
  <c r="K323" i="34"/>
  <c r="K324" i="34"/>
  <c r="K326" i="34"/>
  <c r="K327" i="34"/>
  <c r="K329" i="34"/>
  <c r="K330" i="34"/>
  <c r="K331" i="34"/>
  <c r="K332" i="34"/>
  <c r="K334" i="34"/>
  <c r="K336" i="34"/>
  <c r="K337" i="34"/>
  <c r="K338" i="34"/>
  <c r="K340" i="34"/>
  <c r="K342" i="34"/>
  <c r="K343" i="34"/>
  <c r="K344" i="34"/>
  <c r="K346" i="34"/>
  <c r="K348" i="34"/>
  <c r="K183" i="34" l="1"/>
  <c r="K185" i="34"/>
  <c r="K186" i="34"/>
  <c r="K188" i="34"/>
  <c r="K189" i="34"/>
  <c r="K190" i="34"/>
  <c r="K191" i="34"/>
  <c r="K192" i="34"/>
  <c r="K194" i="34"/>
  <c r="K195" i="34"/>
  <c r="K196" i="34"/>
  <c r="K197" i="34"/>
  <c r="K199" i="34"/>
  <c r="K202" i="34"/>
  <c r="K204" i="34"/>
  <c r="K205" i="34"/>
  <c r="K207" i="34"/>
  <c r="K208" i="34"/>
  <c r="K210" i="34"/>
  <c r="K172" i="34"/>
  <c r="K174" i="34"/>
  <c r="K176" i="34"/>
  <c r="K178" i="34"/>
  <c r="K180" i="34"/>
  <c r="K181" i="34"/>
  <c r="K163" i="34"/>
  <c r="K164" i="34"/>
  <c r="K166" i="34"/>
  <c r="K167" i="34"/>
  <c r="K168" i="34"/>
  <c r="K170" i="34"/>
  <c r="K171" i="34"/>
  <c r="K160" i="34"/>
  <c r="Z90" i="34"/>
  <c r="Y90" i="34"/>
  <c r="O90" i="34"/>
  <c r="N90" i="34"/>
  <c r="C90" i="34"/>
  <c r="B90" i="34" s="1"/>
  <c r="Z155" i="34"/>
  <c r="Y155" i="34"/>
  <c r="O155" i="34"/>
  <c r="N155" i="34"/>
  <c r="Z154" i="34"/>
  <c r="Y154" i="34"/>
  <c r="O154" i="34"/>
  <c r="N154" i="34"/>
  <c r="Z153" i="34"/>
  <c r="Y153" i="34"/>
  <c r="O153" i="34"/>
  <c r="N153" i="34"/>
  <c r="Z152" i="34"/>
  <c r="Y152" i="34"/>
  <c r="O152" i="34"/>
  <c r="N152" i="34"/>
  <c r="Z149" i="34"/>
  <c r="Y149" i="34"/>
  <c r="O149" i="34"/>
  <c r="N149" i="34"/>
  <c r="AA90" i="34" l="1"/>
  <c r="S90" i="34"/>
  <c r="A90" i="34"/>
  <c r="V90" i="34"/>
  <c r="R90" i="34"/>
  <c r="U90" i="34"/>
  <c r="Q90" i="34"/>
  <c r="X90" i="34"/>
  <c r="T90" i="34"/>
  <c r="P90" i="34"/>
  <c r="Z146" i="34"/>
  <c r="Y146" i="34"/>
  <c r="O146" i="34"/>
  <c r="N146" i="34"/>
  <c r="Z145" i="34"/>
  <c r="Y145" i="34"/>
  <c r="O145" i="34"/>
  <c r="N145" i="34"/>
  <c r="Z144" i="34"/>
  <c r="Y144" i="34"/>
  <c r="O144" i="34"/>
  <c r="N144" i="34"/>
  <c r="Z143" i="34"/>
  <c r="Y143" i="34"/>
  <c r="O143" i="34"/>
  <c r="N143" i="34"/>
  <c r="Z142" i="34"/>
  <c r="Y142" i="34"/>
  <c r="O142" i="34"/>
  <c r="N142" i="34"/>
  <c r="Z139" i="34"/>
  <c r="Y139" i="34"/>
  <c r="O139" i="34"/>
  <c r="N139" i="34"/>
  <c r="Z138" i="34"/>
  <c r="Y138" i="34"/>
  <c r="O138" i="34"/>
  <c r="N138" i="34"/>
  <c r="Z135" i="34"/>
  <c r="Y135" i="34"/>
  <c r="O135" i="34"/>
  <c r="N135" i="34"/>
  <c r="C135" i="34"/>
  <c r="B135" i="34" s="1"/>
  <c r="Z134" i="34"/>
  <c r="Y134" i="34"/>
  <c r="O134" i="34"/>
  <c r="N134" i="34"/>
  <c r="C134" i="34"/>
  <c r="B134" i="34" s="1"/>
  <c r="Z117" i="34"/>
  <c r="Y117" i="34"/>
  <c r="O117" i="34"/>
  <c r="N117" i="34"/>
  <c r="C117" i="34"/>
  <c r="B117" i="34" s="1"/>
  <c r="Z116" i="34"/>
  <c r="Y116" i="34"/>
  <c r="O116" i="34"/>
  <c r="N116" i="34"/>
  <c r="C116" i="34"/>
  <c r="B116" i="34" s="1"/>
  <c r="Z136" i="34"/>
  <c r="Y136" i="34"/>
  <c r="O136" i="34"/>
  <c r="N136" i="34"/>
  <c r="Z133" i="34"/>
  <c r="Y133" i="34"/>
  <c r="O133" i="34"/>
  <c r="N133" i="34"/>
  <c r="Z132" i="34"/>
  <c r="Y132" i="34"/>
  <c r="O132" i="34"/>
  <c r="N132" i="34"/>
  <c r="Z130" i="34"/>
  <c r="Y130" i="34"/>
  <c r="O130" i="34"/>
  <c r="N130" i="34"/>
  <c r="Z129" i="34"/>
  <c r="Y129" i="34"/>
  <c r="O129" i="34"/>
  <c r="N129" i="34"/>
  <c r="Z128" i="34"/>
  <c r="Y128" i="34"/>
  <c r="O128" i="34"/>
  <c r="N128" i="34"/>
  <c r="Z125" i="34"/>
  <c r="Y125" i="34"/>
  <c r="O125" i="34"/>
  <c r="N125" i="34"/>
  <c r="Z124" i="34"/>
  <c r="Y124" i="34"/>
  <c r="O124" i="34"/>
  <c r="N124" i="34"/>
  <c r="Z123" i="34"/>
  <c r="Y123" i="34"/>
  <c r="O123" i="34"/>
  <c r="N123" i="34"/>
  <c r="Z119" i="34"/>
  <c r="Y119" i="34"/>
  <c r="O119" i="34"/>
  <c r="N119" i="34"/>
  <c r="Z118" i="34"/>
  <c r="Y118" i="34"/>
  <c r="O118" i="34"/>
  <c r="N118" i="34"/>
  <c r="Z111" i="34"/>
  <c r="Y111" i="34"/>
  <c r="O111" i="34"/>
  <c r="N111" i="34"/>
  <c r="Z110" i="34"/>
  <c r="Y110" i="34"/>
  <c r="O110" i="34"/>
  <c r="N110" i="34"/>
  <c r="Z92" i="34"/>
  <c r="Y92" i="34"/>
  <c r="O92" i="34"/>
  <c r="N92" i="34"/>
  <c r="Z91" i="34"/>
  <c r="Y91" i="34"/>
  <c r="O91" i="34"/>
  <c r="N91" i="34"/>
  <c r="E6" i="43"/>
  <c r="Z63" i="34"/>
  <c r="Y63" i="34"/>
  <c r="U63" i="34"/>
  <c r="T63" i="34"/>
  <c r="S63" i="34"/>
  <c r="O63" i="34"/>
  <c r="N63" i="34"/>
  <c r="C63" i="34"/>
  <c r="B63" i="34" s="1"/>
  <c r="Z56" i="34"/>
  <c r="Y56" i="34"/>
  <c r="U56" i="34"/>
  <c r="T56" i="34"/>
  <c r="S56" i="34"/>
  <c r="O56" i="34"/>
  <c r="N56" i="34"/>
  <c r="C56" i="34"/>
  <c r="B56" i="34" s="1"/>
  <c r="X116" i="34" l="1"/>
  <c r="A116" i="34"/>
  <c r="V116" i="34"/>
  <c r="AA116" i="34"/>
  <c r="R116" i="34"/>
  <c r="X134" i="34"/>
  <c r="AA134" i="34"/>
  <c r="R134" i="34"/>
  <c r="V134" i="34"/>
  <c r="A134" i="34"/>
  <c r="AA135" i="34"/>
  <c r="A135" i="34"/>
  <c r="V135" i="34"/>
  <c r="R135" i="34"/>
  <c r="Q135" i="34"/>
  <c r="X135" i="34"/>
  <c r="P135" i="34"/>
  <c r="Q134" i="34"/>
  <c r="P134" i="34"/>
  <c r="AA117" i="34"/>
  <c r="A117" i="34"/>
  <c r="V117" i="34"/>
  <c r="R117" i="34"/>
  <c r="Q117" i="34"/>
  <c r="X117" i="34"/>
  <c r="P117" i="34"/>
  <c r="Q116" i="34"/>
  <c r="P116" i="34"/>
  <c r="AA63" i="34"/>
  <c r="A63" i="34"/>
  <c r="V63" i="34"/>
  <c r="R63" i="34"/>
  <c r="Q63" i="34"/>
  <c r="X63" i="34"/>
  <c r="P63" i="34"/>
  <c r="AA56" i="34"/>
  <c r="V56" i="34"/>
  <c r="R56" i="34"/>
  <c r="X56" i="34"/>
  <c r="P56" i="34"/>
  <c r="A56" i="34"/>
  <c r="Q56" i="34"/>
  <c r="K38" i="34"/>
  <c r="K37" i="34"/>
  <c r="K36" i="34"/>
  <c r="K44" i="34"/>
  <c r="K43" i="34"/>
  <c r="K42" i="34"/>
  <c r="K61" i="34"/>
  <c r="K57" i="34" l="1"/>
  <c r="K54" i="34"/>
  <c r="C46" i="34"/>
  <c r="C47" i="34"/>
  <c r="C68" i="34"/>
  <c r="C69" i="34"/>
  <c r="C66" i="34"/>
  <c r="C67" i="34"/>
  <c r="C48" i="34"/>
  <c r="C49" i="34"/>
  <c r="C52" i="34"/>
  <c r="C53" i="34"/>
  <c r="C59" i="34"/>
  <c r="C60" i="34"/>
  <c r="C54" i="34"/>
  <c r="C55" i="34"/>
  <c r="C57" i="34"/>
  <c r="C58" i="34"/>
  <c r="C61" i="34"/>
  <c r="C62" i="34"/>
  <c r="C42" i="34"/>
  <c r="C43" i="34"/>
  <c r="C44" i="34"/>
  <c r="C45" i="34"/>
  <c r="C36" i="34"/>
  <c r="C37" i="34"/>
  <c r="C38" i="34"/>
  <c r="C39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23" i="34" l="1"/>
  <c r="C24" i="34"/>
  <c r="C25" i="34"/>
  <c r="C26" i="34"/>
  <c r="C27" i="34"/>
  <c r="C28" i="34"/>
  <c r="C29" i="34"/>
  <c r="C30" i="34"/>
  <c r="C31" i="34"/>
  <c r="C40" i="34"/>
  <c r="C41" i="34"/>
  <c r="C22" i="34"/>
  <c r="K30" i="34"/>
  <c r="K29" i="34"/>
  <c r="K28" i="34"/>
  <c r="K26" i="34"/>
  <c r="K25" i="34"/>
  <c r="K24" i="34"/>
  <c r="K22" i="34"/>
  <c r="Z58" i="34" l="1"/>
  <c r="Y58" i="34"/>
  <c r="O58" i="34"/>
  <c r="N58" i="34"/>
  <c r="B58" i="34"/>
  <c r="A58" i="34" s="1"/>
  <c r="Z57" i="34"/>
  <c r="Y57" i="34"/>
  <c r="O57" i="34"/>
  <c r="N57" i="34"/>
  <c r="B57" i="34"/>
  <c r="Z55" i="34"/>
  <c r="Y55" i="34"/>
  <c r="O55" i="34"/>
  <c r="N55" i="34"/>
  <c r="B55" i="34"/>
  <c r="Z54" i="34"/>
  <c r="Y54" i="34"/>
  <c r="O54" i="34"/>
  <c r="N54" i="34"/>
  <c r="B54" i="34"/>
  <c r="A54" i="34" s="1"/>
  <c r="Z60" i="34"/>
  <c r="Y60" i="34"/>
  <c r="O60" i="34"/>
  <c r="N60" i="34"/>
  <c r="B60" i="34"/>
  <c r="A60" i="34" s="1"/>
  <c r="Z59" i="34"/>
  <c r="Y59" i="34"/>
  <c r="O59" i="34"/>
  <c r="N59" i="34"/>
  <c r="B59" i="34"/>
  <c r="A59" i="34" s="1"/>
  <c r="Z53" i="34"/>
  <c r="Y53" i="34"/>
  <c r="O53" i="34"/>
  <c r="N53" i="34"/>
  <c r="B53" i="34"/>
  <c r="Z52" i="34"/>
  <c r="Y52" i="34"/>
  <c r="O52" i="34"/>
  <c r="N52" i="34"/>
  <c r="B52" i="34"/>
  <c r="A52" i="34" s="1"/>
  <c r="Z77" i="34"/>
  <c r="Y77" i="34"/>
  <c r="O77" i="34"/>
  <c r="N77" i="34"/>
  <c r="B77" i="34"/>
  <c r="A77" i="34" s="1"/>
  <c r="Z76" i="34"/>
  <c r="Y76" i="34"/>
  <c r="O76" i="34"/>
  <c r="N76" i="34"/>
  <c r="B76" i="34"/>
  <c r="A76" i="34" s="1"/>
  <c r="Z75" i="34"/>
  <c r="Y75" i="34"/>
  <c r="O75" i="34"/>
  <c r="N75" i="34"/>
  <c r="B75" i="34"/>
  <c r="Z74" i="34"/>
  <c r="Y74" i="34"/>
  <c r="O74" i="34"/>
  <c r="N74" i="34"/>
  <c r="B74" i="34"/>
  <c r="A74" i="34" s="1"/>
  <c r="Z73" i="34"/>
  <c r="Y73" i="34"/>
  <c r="O73" i="34"/>
  <c r="N73" i="34"/>
  <c r="B73" i="34"/>
  <c r="A73" i="34" s="1"/>
  <c r="Z72" i="34"/>
  <c r="Y72" i="34"/>
  <c r="O72" i="34"/>
  <c r="N72" i="34"/>
  <c r="B72" i="34"/>
  <c r="A72" i="34" s="1"/>
  <c r="Z49" i="34"/>
  <c r="Y49" i="34"/>
  <c r="O49" i="34"/>
  <c r="N49" i="34"/>
  <c r="B49" i="34"/>
  <c r="Z48" i="34"/>
  <c r="Y48" i="34"/>
  <c r="O48" i="34"/>
  <c r="N48" i="34"/>
  <c r="B48" i="34"/>
  <c r="A48" i="34" s="1"/>
  <c r="Z67" i="34"/>
  <c r="Y67" i="34"/>
  <c r="O67" i="34"/>
  <c r="N67" i="34"/>
  <c r="B67" i="34"/>
  <c r="A67" i="34" s="1"/>
  <c r="Z66" i="34"/>
  <c r="Y66" i="34"/>
  <c r="O66" i="34"/>
  <c r="N66" i="34"/>
  <c r="B66" i="34"/>
  <c r="A66" i="34" s="1"/>
  <c r="Z69" i="34"/>
  <c r="Y69" i="34"/>
  <c r="O69" i="34"/>
  <c r="N69" i="34"/>
  <c r="B69" i="34"/>
  <c r="U69" i="34" l="1"/>
  <c r="A69" i="34"/>
  <c r="U49" i="34"/>
  <c r="A49" i="34"/>
  <c r="U75" i="34"/>
  <c r="A75" i="34"/>
  <c r="U53" i="34"/>
  <c r="A53" i="34"/>
  <c r="U55" i="34"/>
  <c r="A55" i="34"/>
  <c r="X57" i="34"/>
  <c r="A57" i="34"/>
  <c r="X72" i="34"/>
  <c r="AA72" i="34"/>
  <c r="S72" i="34"/>
  <c r="X66" i="34"/>
  <c r="S66" i="34"/>
  <c r="X76" i="34"/>
  <c r="AA76" i="34"/>
  <c r="S76" i="34"/>
  <c r="X59" i="34"/>
  <c r="S59" i="34"/>
  <c r="AA59" i="34"/>
  <c r="AA66" i="34"/>
  <c r="AA57" i="34"/>
  <c r="S57" i="34"/>
  <c r="AA67" i="34"/>
  <c r="S67" i="34"/>
  <c r="V67" i="34"/>
  <c r="U67" i="34"/>
  <c r="Q67" i="34"/>
  <c r="R67" i="34"/>
  <c r="X67" i="34"/>
  <c r="T67" i="34"/>
  <c r="P67" i="34"/>
  <c r="V54" i="34"/>
  <c r="R54" i="34"/>
  <c r="U54" i="34"/>
  <c r="Q54" i="34"/>
  <c r="X54" i="34"/>
  <c r="T54" i="34"/>
  <c r="P54" i="34"/>
  <c r="AA54" i="34"/>
  <c r="S54" i="34"/>
  <c r="V48" i="34"/>
  <c r="R48" i="34"/>
  <c r="U48" i="34"/>
  <c r="Q48" i="34"/>
  <c r="X48" i="34"/>
  <c r="T48" i="34"/>
  <c r="P48" i="34"/>
  <c r="AA48" i="34"/>
  <c r="S48" i="34"/>
  <c r="AA73" i="34"/>
  <c r="S73" i="34"/>
  <c r="R73" i="34"/>
  <c r="U73" i="34"/>
  <c r="Q73" i="34"/>
  <c r="V73" i="34"/>
  <c r="X73" i="34"/>
  <c r="T73" i="34"/>
  <c r="P73" i="34"/>
  <c r="AA77" i="34"/>
  <c r="S77" i="34"/>
  <c r="V77" i="34"/>
  <c r="R77" i="34"/>
  <c r="U77" i="34"/>
  <c r="Q77" i="34"/>
  <c r="X77" i="34"/>
  <c r="T77" i="34"/>
  <c r="P77" i="34"/>
  <c r="V52" i="34"/>
  <c r="R52" i="34"/>
  <c r="U52" i="34"/>
  <c r="Q52" i="34"/>
  <c r="X52" i="34"/>
  <c r="T52" i="34"/>
  <c r="P52" i="34"/>
  <c r="AA52" i="34"/>
  <c r="S52" i="34"/>
  <c r="AA60" i="34"/>
  <c r="S60" i="34"/>
  <c r="V60" i="34"/>
  <c r="R60" i="34"/>
  <c r="U60" i="34"/>
  <c r="Q60" i="34"/>
  <c r="X60" i="34"/>
  <c r="T60" i="34"/>
  <c r="P60" i="34"/>
  <c r="V74" i="34"/>
  <c r="R74" i="34"/>
  <c r="U74" i="34"/>
  <c r="X74" i="34"/>
  <c r="T74" i="34"/>
  <c r="P74" i="34"/>
  <c r="AA74" i="34"/>
  <c r="S74" i="34"/>
  <c r="Q74" i="34"/>
  <c r="AA58" i="34"/>
  <c r="S58" i="34"/>
  <c r="V58" i="34"/>
  <c r="R58" i="34"/>
  <c r="U58" i="34"/>
  <c r="Q58" i="34"/>
  <c r="X58" i="34"/>
  <c r="T58" i="34"/>
  <c r="P58" i="34"/>
  <c r="R69" i="34"/>
  <c r="V69" i="34"/>
  <c r="Q66" i="34"/>
  <c r="U66" i="34"/>
  <c r="R49" i="34"/>
  <c r="V49" i="34"/>
  <c r="Q72" i="34"/>
  <c r="U72" i="34"/>
  <c r="R75" i="34"/>
  <c r="V75" i="34"/>
  <c r="Q76" i="34"/>
  <c r="U76" i="34"/>
  <c r="R53" i="34"/>
  <c r="V53" i="34"/>
  <c r="Q59" i="34"/>
  <c r="U59" i="34"/>
  <c r="R55" i="34"/>
  <c r="V55" i="34"/>
  <c r="Q57" i="34"/>
  <c r="U57" i="34"/>
  <c r="T69" i="34"/>
  <c r="X69" i="34"/>
  <c r="P49" i="34"/>
  <c r="S69" i="34"/>
  <c r="AA69" i="34"/>
  <c r="R66" i="34"/>
  <c r="V66" i="34"/>
  <c r="S49" i="34"/>
  <c r="AA49" i="34"/>
  <c r="R72" i="34"/>
  <c r="V72" i="34"/>
  <c r="S75" i="34"/>
  <c r="AA75" i="34"/>
  <c r="R76" i="34"/>
  <c r="V76" i="34"/>
  <c r="S53" i="34"/>
  <c r="AA53" i="34"/>
  <c r="R59" i="34"/>
  <c r="V59" i="34"/>
  <c r="S55" i="34"/>
  <c r="AA55" i="34"/>
  <c r="R57" i="34"/>
  <c r="V57" i="34"/>
  <c r="P69" i="34"/>
  <c r="P75" i="34"/>
  <c r="T75" i="34"/>
  <c r="X75" i="34"/>
  <c r="P53" i="34"/>
  <c r="T53" i="34"/>
  <c r="X53" i="34"/>
  <c r="P55" i="34"/>
  <c r="T55" i="34"/>
  <c r="X55" i="34"/>
  <c r="T49" i="34"/>
  <c r="X49" i="34"/>
  <c r="Q69" i="34"/>
  <c r="P66" i="34"/>
  <c r="T66" i="34"/>
  <c r="Q49" i="34"/>
  <c r="P72" i="34"/>
  <c r="T72" i="34"/>
  <c r="Q75" i="34"/>
  <c r="P76" i="34"/>
  <c r="T76" i="34"/>
  <c r="Q53" i="34"/>
  <c r="P59" i="34"/>
  <c r="T59" i="34"/>
  <c r="Q55" i="34"/>
  <c r="P57" i="34"/>
  <c r="T57" i="34"/>
  <c r="D41" i="15" l="1"/>
  <c r="C41" i="15"/>
  <c r="O11" i="34" l="1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40" i="34"/>
  <c r="O41" i="34"/>
  <c r="O32" i="34"/>
  <c r="O33" i="34"/>
  <c r="O34" i="34"/>
  <c r="O35" i="34"/>
  <c r="O46" i="34"/>
  <c r="O47" i="34"/>
  <c r="O68" i="34"/>
  <c r="O61" i="34"/>
  <c r="O62" i="34"/>
  <c r="O42" i="34"/>
  <c r="O43" i="34"/>
  <c r="O44" i="34"/>
  <c r="O45" i="34"/>
  <c r="O36" i="34"/>
  <c r="O37" i="34"/>
  <c r="O38" i="34"/>
  <c r="O39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2" i="34"/>
  <c r="O113" i="34"/>
  <c r="O114" i="34"/>
  <c r="O115" i="34"/>
  <c r="O120" i="34"/>
  <c r="O121" i="34"/>
  <c r="O122" i="34"/>
  <c r="O126" i="34"/>
  <c r="O127" i="34"/>
  <c r="O131" i="34"/>
  <c r="O137" i="34"/>
  <c r="O140" i="34"/>
  <c r="O141" i="34"/>
  <c r="O147" i="34"/>
  <c r="O148" i="34"/>
  <c r="O156" i="34"/>
  <c r="O157" i="34"/>
  <c r="O158" i="34"/>
  <c r="O159" i="34"/>
  <c r="O160" i="34"/>
  <c r="O161" i="34"/>
  <c r="O162" i="34"/>
  <c r="O163" i="34"/>
  <c r="O164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0" i="34"/>
  <c r="O181" i="34"/>
  <c r="O182" i="34"/>
  <c r="O183" i="34"/>
  <c r="O184" i="34"/>
  <c r="O185" i="34"/>
  <c r="O186" i="34"/>
  <c r="O187" i="34"/>
  <c r="O188" i="34"/>
  <c r="O189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1" i="34"/>
  <c r="O222" i="34"/>
  <c r="O223" i="34"/>
  <c r="O224" i="34"/>
  <c r="O225" i="34"/>
  <c r="O226" i="34"/>
  <c r="O227" i="34"/>
  <c r="O228" i="34"/>
  <c r="O229" i="34"/>
  <c r="O230" i="34"/>
  <c r="O231" i="34"/>
  <c r="O232" i="34"/>
  <c r="O233" i="34"/>
  <c r="O234" i="34"/>
  <c r="O235" i="34"/>
  <c r="O236" i="34"/>
  <c r="O237" i="34"/>
  <c r="O238" i="34"/>
  <c r="O239" i="34"/>
  <c r="O240" i="34"/>
  <c r="O241" i="34"/>
  <c r="O242" i="34"/>
  <c r="O243" i="34"/>
  <c r="O244" i="34"/>
  <c r="O245" i="34"/>
  <c r="O246" i="34"/>
  <c r="O247" i="34"/>
  <c r="O248" i="34"/>
  <c r="O249" i="34"/>
  <c r="O250" i="34"/>
  <c r="O251" i="34"/>
  <c r="O252" i="34"/>
  <c r="O253" i="34"/>
  <c r="O254" i="34"/>
  <c r="O255" i="34"/>
  <c r="O256" i="34"/>
  <c r="O257" i="34"/>
  <c r="O258" i="34"/>
  <c r="O259" i="34"/>
  <c r="O260" i="34"/>
  <c r="O261" i="34"/>
  <c r="O262" i="34"/>
  <c r="O263" i="34"/>
  <c r="O264" i="34"/>
  <c r="O265" i="34"/>
  <c r="O266" i="34"/>
  <c r="O267" i="34"/>
  <c r="O268" i="34"/>
  <c r="O269" i="34"/>
  <c r="O270" i="34"/>
  <c r="O271" i="34"/>
  <c r="O272" i="34"/>
  <c r="O273" i="34"/>
  <c r="O274" i="34"/>
  <c r="O275" i="34"/>
  <c r="O277" i="34"/>
  <c r="O278" i="34"/>
  <c r="O279" i="34"/>
  <c r="O280" i="34"/>
  <c r="O281" i="34"/>
  <c r="O282" i="34"/>
  <c r="O283" i="34"/>
  <c r="O284" i="34"/>
  <c r="O285" i="34"/>
  <c r="O286" i="34"/>
  <c r="O287" i="34"/>
  <c r="O288" i="34"/>
  <c r="O289" i="34"/>
  <c r="O290" i="34"/>
  <c r="O291" i="34"/>
  <c r="O292" i="34"/>
  <c r="O293" i="34"/>
  <c r="O294" i="34"/>
  <c r="O295" i="34"/>
  <c r="O296" i="34"/>
  <c r="O297" i="34"/>
  <c r="O298" i="34"/>
  <c r="O299" i="34"/>
  <c r="O300" i="34"/>
  <c r="O301" i="34"/>
  <c r="O302" i="34"/>
  <c r="O303" i="34"/>
  <c r="O304" i="34"/>
  <c r="O305" i="34"/>
  <c r="O306" i="34"/>
  <c r="O307" i="34"/>
  <c r="O308" i="34"/>
  <c r="O309" i="34"/>
  <c r="O310" i="34"/>
  <c r="O311" i="34"/>
  <c r="O312" i="34"/>
  <c r="O313" i="34"/>
  <c r="O314" i="34"/>
  <c r="O315" i="34"/>
  <c r="O316" i="34"/>
  <c r="O317" i="34"/>
  <c r="O318" i="34"/>
  <c r="O319" i="34"/>
  <c r="O320" i="34"/>
  <c r="O321" i="34"/>
  <c r="O322" i="34"/>
  <c r="O323" i="34"/>
  <c r="O324" i="34"/>
  <c r="O557" i="34"/>
  <c r="O558" i="34"/>
  <c r="O559" i="34"/>
  <c r="O560" i="34"/>
  <c r="O561" i="34"/>
  <c r="O564" i="34"/>
  <c r="O565" i="34"/>
  <c r="O571" i="34"/>
  <c r="O572" i="34"/>
  <c r="O584" i="34"/>
  <c r="O585" i="34"/>
  <c r="O634" i="34"/>
  <c r="O635" i="34"/>
  <c r="O651" i="34"/>
  <c r="O652" i="34"/>
  <c r="O664" i="34"/>
  <c r="O665" i="34"/>
  <c r="O666" i="34"/>
  <c r="O667" i="34"/>
  <c r="O671" i="34"/>
  <c r="O672" i="34"/>
  <c r="O677" i="34"/>
  <c r="O678" i="34"/>
  <c r="O690" i="34"/>
  <c r="O691" i="34"/>
  <c r="O692" i="34"/>
  <c r="O693" i="34"/>
  <c r="O694" i="34"/>
  <c r="O695" i="34"/>
  <c r="O748" i="34"/>
  <c r="O749" i="34"/>
  <c r="O325" i="34"/>
  <c r="O326" i="34"/>
  <c r="O435" i="34"/>
  <c r="O436" i="34"/>
  <c r="O437" i="34"/>
  <c r="O438" i="34"/>
  <c r="O439" i="34"/>
  <c r="O440" i="34"/>
  <c r="O441" i="34"/>
  <c r="O442" i="34"/>
  <c r="O443" i="34"/>
  <c r="O444" i="34"/>
  <c r="O488" i="34"/>
  <c r="O489" i="34"/>
  <c r="O490" i="34"/>
  <c r="O516" i="34"/>
  <c r="O517" i="34"/>
  <c r="O518" i="34"/>
  <c r="O704" i="34"/>
  <c r="O711" i="34"/>
  <c r="O712" i="34"/>
  <c r="O713" i="34"/>
  <c r="O714" i="34"/>
  <c r="O715" i="34"/>
  <c r="O716" i="34"/>
  <c r="O717" i="34"/>
  <c r="O718" i="34"/>
  <c r="O719" i="34"/>
  <c r="O720" i="34"/>
  <c r="O721" i="34"/>
  <c r="O760" i="34"/>
  <c r="O761" i="34"/>
  <c r="O762" i="34"/>
  <c r="O767" i="34"/>
  <c r="O763" i="34"/>
  <c r="O764" i="34"/>
  <c r="O765" i="34"/>
  <c r="O766" i="34"/>
  <c r="O768" i="34"/>
  <c r="O769" i="34"/>
  <c r="O770" i="34"/>
  <c r="O771" i="34"/>
  <c r="O772" i="34"/>
  <c r="O773" i="34"/>
  <c r="O776" i="34"/>
  <c r="O777" i="34"/>
  <c r="O778" i="34"/>
  <c r="O779" i="34"/>
  <c r="O828" i="34"/>
  <c r="O829" i="34"/>
  <c r="O837" i="34"/>
  <c r="O838" i="34"/>
  <c r="O839" i="34"/>
  <c r="O840" i="34"/>
  <c r="O869" i="34"/>
  <c r="O870" i="34"/>
  <c r="O877" i="34"/>
  <c r="O878" i="34"/>
  <c r="O879" i="34"/>
  <c r="O880" i="34"/>
  <c r="O889" i="34"/>
  <c r="O890" i="34"/>
  <c r="O896" i="34"/>
  <c r="O897" i="34"/>
  <c r="O898" i="34"/>
  <c r="O899" i="34"/>
  <c r="O940" i="34"/>
  <c r="O941" i="34"/>
  <c r="O974" i="34"/>
  <c r="O975" i="34"/>
  <c r="O976" i="34"/>
  <c r="O977" i="34"/>
  <c r="O327" i="34"/>
  <c r="O328" i="34"/>
  <c r="O329" i="34"/>
  <c r="O330" i="34"/>
  <c r="O331" i="34"/>
  <c r="O332" i="34"/>
  <c r="O333" i="34"/>
  <c r="O334" i="34"/>
  <c r="O335" i="34"/>
  <c r="O336" i="34"/>
  <c r="O337" i="34"/>
  <c r="O338" i="34"/>
  <c r="O339" i="34"/>
  <c r="O340" i="34"/>
  <c r="O341" i="34"/>
  <c r="O342" i="34"/>
  <c r="O343" i="34"/>
  <c r="O344" i="34"/>
  <c r="O345" i="34"/>
  <c r="O346" i="34"/>
  <c r="O347" i="34"/>
  <c r="O348" i="34"/>
  <c r="O349" i="34"/>
  <c r="O350" i="34"/>
  <c r="O351" i="34"/>
  <c r="O352" i="34"/>
  <c r="O353" i="34"/>
  <c r="O354" i="34"/>
  <c r="O355" i="34"/>
  <c r="O356" i="34"/>
  <c r="O357" i="34"/>
  <c r="O358" i="34"/>
  <c r="O359" i="34"/>
  <c r="O360" i="34"/>
  <c r="O361" i="34"/>
  <c r="O362" i="34"/>
  <c r="O363" i="34"/>
  <c r="O364" i="34"/>
  <c r="O365" i="34"/>
  <c r="O366" i="34"/>
  <c r="O367" i="34"/>
  <c r="O368" i="34"/>
  <c r="O369" i="34"/>
  <c r="O370" i="34"/>
  <c r="O371" i="34"/>
  <c r="O372" i="34"/>
  <c r="O373" i="34"/>
  <c r="O374" i="34"/>
  <c r="O375" i="34"/>
  <c r="O376" i="34"/>
  <c r="O377" i="34"/>
  <c r="O378" i="34"/>
  <c r="O379" i="34"/>
  <c r="O380" i="34"/>
  <c r="O381" i="34"/>
  <c r="O382" i="34"/>
  <c r="O383" i="34"/>
  <c r="O384" i="34"/>
  <c r="O385" i="34"/>
  <c r="O386" i="34"/>
  <c r="O387" i="34"/>
  <c r="O388" i="34"/>
  <c r="O389" i="34"/>
  <c r="O390" i="34"/>
  <c r="O391" i="34"/>
  <c r="O392" i="34"/>
  <c r="O393" i="34"/>
  <c r="O394" i="34"/>
  <c r="O395" i="34"/>
  <c r="O396" i="34"/>
  <c r="O397" i="34"/>
  <c r="O398" i="34"/>
  <c r="O399" i="34"/>
  <c r="O400" i="34"/>
  <c r="O401" i="34"/>
  <c r="O402" i="34"/>
  <c r="O403" i="34"/>
  <c r="O404" i="34"/>
  <c r="O405" i="34"/>
  <c r="O406" i="34"/>
  <c r="O407" i="34"/>
  <c r="O408" i="34"/>
  <c r="O409" i="34"/>
  <c r="O410" i="34"/>
  <c r="O411" i="34"/>
  <c r="O412" i="34"/>
  <c r="O413" i="34"/>
  <c r="O414" i="34"/>
  <c r="O415" i="34"/>
  <c r="O416" i="34"/>
  <c r="O417" i="34"/>
  <c r="O418" i="34"/>
  <c r="O419" i="34"/>
  <c r="O420" i="34"/>
  <c r="O421" i="34"/>
  <c r="O422" i="34"/>
  <c r="O423" i="34"/>
  <c r="O424" i="34"/>
  <c r="O425" i="34"/>
  <c r="O426" i="34"/>
  <c r="O427" i="34"/>
  <c r="O428" i="34"/>
  <c r="O429" i="34"/>
  <c r="O430" i="34"/>
  <c r="O431" i="34"/>
  <c r="O432" i="34"/>
  <c r="O433" i="34"/>
  <c r="O434" i="34"/>
  <c r="O445" i="34"/>
  <c r="O446" i="34"/>
  <c r="O447" i="34"/>
  <c r="O448" i="34"/>
  <c r="O449" i="34"/>
  <c r="O450" i="34"/>
  <c r="O451" i="34"/>
  <c r="O452" i="34"/>
  <c r="O453" i="34"/>
  <c r="O454" i="34"/>
  <c r="O455" i="34"/>
  <c r="O456" i="34"/>
  <c r="O457" i="34"/>
  <c r="O458" i="34"/>
  <c r="O459" i="34"/>
  <c r="O460" i="34"/>
  <c r="O461" i="34"/>
  <c r="O462" i="34"/>
  <c r="O463" i="34"/>
  <c r="O464" i="34"/>
  <c r="O465" i="34"/>
  <c r="O466" i="34"/>
  <c r="O467" i="34"/>
  <c r="O468" i="34"/>
  <c r="O469" i="34"/>
  <c r="O470" i="34"/>
  <c r="O471" i="34"/>
  <c r="O472" i="34"/>
  <c r="O473" i="34"/>
  <c r="O474" i="34"/>
  <c r="O475" i="34"/>
  <c r="O476" i="34"/>
  <c r="O477" i="34"/>
  <c r="O478" i="34"/>
  <c r="O479" i="34"/>
  <c r="O480" i="34"/>
  <c r="O481" i="34"/>
  <c r="O482" i="34"/>
  <c r="O483" i="34"/>
  <c r="O484" i="34"/>
  <c r="O485" i="34"/>
  <c r="O486" i="34"/>
  <c r="O487" i="34"/>
  <c r="O491" i="34"/>
  <c r="O492" i="34"/>
  <c r="O493" i="34"/>
  <c r="O494" i="34"/>
  <c r="O495" i="34"/>
  <c r="O496" i="34"/>
  <c r="O497" i="34"/>
  <c r="O498" i="34"/>
  <c r="O499" i="34"/>
  <c r="O500" i="34"/>
  <c r="O501" i="34"/>
  <c r="O502" i="34"/>
  <c r="O503" i="34"/>
  <c r="O504" i="34"/>
  <c r="O505" i="34"/>
  <c r="O506" i="34"/>
  <c r="O507" i="34"/>
  <c r="O508" i="34"/>
  <c r="O509" i="34"/>
  <c r="O510" i="34"/>
  <c r="O511" i="34"/>
  <c r="O512" i="34"/>
  <c r="O513" i="34"/>
  <c r="O514" i="34"/>
  <c r="O515" i="34"/>
  <c r="O519" i="34"/>
  <c r="O520" i="34"/>
  <c r="O521" i="34"/>
  <c r="O522" i="34"/>
  <c r="O523" i="34"/>
  <c r="O524" i="34"/>
  <c r="O525" i="34"/>
  <c r="O526" i="34"/>
  <c r="O527" i="34"/>
  <c r="O528" i="34"/>
  <c r="O529" i="34"/>
  <c r="O530" i="34"/>
  <c r="O531" i="34"/>
  <c r="O532" i="34"/>
  <c r="O533" i="34"/>
  <c r="O534" i="34"/>
  <c r="O535" i="34"/>
  <c r="O536" i="34"/>
  <c r="O537" i="34"/>
  <c r="O538" i="34"/>
  <c r="O539" i="34"/>
  <c r="O540" i="34"/>
  <c r="O541" i="34"/>
  <c r="O542" i="34"/>
  <c r="O543" i="34"/>
  <c r="O544" i="34"/>
  <c r="O545" i="34"/>
  <c r="O546" i="34"/>
  <c r="O547" i="34"/>
  <c r="O548" i="34"/>
  <c r="O549" i="34"/>
  <c r="O550" i="34"/>
  <c r="O551" i="34"/>
  <c r="O552" i="34"/>
  <c r="O553" i="34"/>
  <c r="O554" i="34"/>
  <c r="O555" i="34"/>
  <c r="O556" i="34"/>
  <c r="O562" i="34"/>
  <c r="O563" i="34"/>
  <c r="O566" i="34"/>
  <c r="O567" i="34"/>
  <c r="O568" i="34"/>
  <c r="O569" i="34"/>
  <c r="O570" i="34"/>
  <c r="O573" i="34"/>
  <c r="O574" i="34"/>
  <c r="O575" i="34"/>
  <c r="O576" i="34"/>
  <c r="O577" i="34"/>
  <c r="O578" i="34"/>
  <c r="O579" i="34"/>
  <c r="O580" i="34"/>
  <c r="O581" i="34"/>
  <c r="O582" i="34"/>
  <c r="O583" i="34"/>
  <c r="O586" i="34"/>
  <c r="O587" i="34"/>
  <c r="O588" i="34"/>
  <c r="O589" i="34"/>
  <c r="O590" i="34"/>
  <c r="O591" i="34"/>
  <c r="O592" i="34"/>
  <c r="O593" i="34"/>
  <c r="O594" i="34"/>
  <c r="O595" i="34"/>
  <c r="O596" i="34"/>
  <c r="O597" i="34"/>
  <c r="O598" i="34"/>
  <c r="O599" i="34"/>
  <c r="O600" i="34"/>
  <c r="O601" i="34"/>
  <c r="O602" i="34"/>
  <c r="O603" i="34"/>
  <c r="O604" i="34"/>
  <c r="O605" i="34"/>
  <c r="O606" i="34"/>
  <c r="O607" i="34"/>
  <c r="O608" i="34"/>
  <c r="O609" i="34"/>
  <c r="O610" i="34"/>
  <c r="O611" i="34"/>
  <c r="O612" i="34"/>
  <c r="O613" i="34"/>
  <c r="O614" i="34"/>
  <c r="O615" i="34"/>
  <c r="O616" i="34"/>
  <c r="O617" i="34"/>
  <c r="O618" i="34"/>
  <c r="O619" i="34"/>
  <c r="O620" i="34"/>
  <c r="O621" i="34"/>
  <c r="O622" i="34"/>
  <c r="O623" i="34"/>
  <c r="O624" i="34"/>
  <c r="O625" i="34"/>
  <c r="O626" i="34"/>
  <c r="O627" i="34"/>
  <c r="O628" i="34"/>
  <c r="O629" i="34"/>
  <c r="O630" i="34"/>
  <c r="O631" i="34"/>
  <c r="O632" i="34"/>
  <c r="O633" i="34"/>
  <c r="O636" i="34"/>
  <c r="O637" i="34"/>
  <c r="O638" i="34"/>
  <c r="O639" i="34"/>
  <c r="O640" i="34"/>
  <c r="O641" i="34"/>
  <c r="O642" i="34"/>
  <c r="O643" i="34"/>
  <c r="O644" i="34"/>
  <c r="O645" i="34"/>
  <c r="O646" i="34"/>
  <c r="O647" i="34"/>
  <c r="O648" i="34"/>
  <c r="O649" i="34"/>
  <c r="O650" i="34"/>
  <c r="O653" i="34"/>
  <c r="O654" i="34"/>
  <c r="O655" i="34"/>
  <c r="O656" i="34"/>
  <c r="O657" i="34"/>
  <c r="O658" i="34"/>
  <c r="O659" i="34"/>
  <c r="O660" i="34"/>
  <c r="O661" i="34"/>
  <c r="O662" i="34"/>
  <c r="O663" i="34"/>
  <c r="O668" i="34"/>
  <c r="O669" i="34"/>
  <c r="O670" i="34"/>
  <c r="O673" i="34"/>
  <c r="O674" i="34"/>
  <c r="O675" i="34"/>
  <c r="O676" i="34"/>
  <c r="O679" i="34"/>
  <c r="O680" i="34"/>
  <c r="O681" i="34"/>
  <c r="O682" i="34"/>
  <c r="O683" i="34"/>
  <c r="O684" i="34"/>
  <c r="O685" i="34"/>
  <c r="O686" i="34"/>
  <c r="O687" i="34"/>
  <c r="O688" i="34"/>
  <c r="O689" i="34"/>
  <c r="O696" i="34"/>
  <c r="O697" i="34"/>
  <c r="O698" i="34"/>
  <c r="O699" i="34"/>
  <c r="O700" i="34"/>
  <c r="O701" i="34"/>
  <c r="O702" i="34"/>
  <c r="O703" i="34"/>
  <c r="O705" i="34"/>
  <c r="O706" i="34"/>
  <c r="O707" i="34"/>
  <c r="O708" i="34"/>
  <c r="O709" i="34"/>
  <c r="O710" i="34"/>
  <c r="O722" i="34"/>
  <c r="O723" i="34"/>
  <c r="O724" i="34"/>
  <c r="O725" i="34"/>
  <c r="O726" i="34"/>
  <c r="O727" i="34"/>
  <c r="O728" i="34"/>
  <c r="O729" i="34"/>
  <c r="O730" i="34"/>
  <c r="O731" i="34"/>
  <c r="O732" i="34"/>
  <c r="O733" i="34"/>
  <c r="O734" i="34"/>
  <c r="O735" i="34"/>
  <c r="O736" i="34"/>
  <c r="O737" i="34"/>
  <c r="O738" i="34"/>
  <c r="O739" i="34"/>
  <c r="O740" i="34"/>
  <c r="O741" i="34"/>
  <c r="O742" i="34"/>
  <c r="O743" i="34"/>
  <c r="O744" i="34"/>
  <c r="O745" i="34"/>
  <c r="O746" i="34"/>
  <c r="O747" i="34"/>
  <c r="O750" i="34"/>
  <c r="O751" i="34"/>
  <c r="O752" i="34"/>
  <c r="O753" i="34"/>
  <c r="O754" i="34"/>
  <c r="O755" i="34"/>
  <c r="O756" i="34"/>
  <c r="O757" i="34"/>
  <c r="O758" i="34"/>
  <c r="O759" i="34"/>
  <c r="O774" i="34"/>
  <c r="O775" i="34"/>
  <c r="O780" i="34"/>
  <c r="O781" i="34"/>
  <c r="O782" i="34"/>
  <c r="O783" i="34"/>
  <c r="O784" i="34"/>
  <c r="O785" i="34"/>
  <c r="O786" i="34"/>
  <c r="O787" i="34"/>
  <c r="O788" i="34"/>
  <c r="O789" i="34"/>
  <c r="O790" i="34"/>
  <c r="O791" i="34"/>
  <c r="O792" i="34"/>
  <c r="O793" i="34"/>
  <c r="O794" i="34"/>
  <c r="O795" i="34"/>
  <c r="O796" i="34"/>
  <c r="O797" i="34"/>
  <c r="O798" i="34"/>
  <c r="O799" i="34"/>
  <c r="O800" i="34"/>
  <c r="O801" i="34"/>
  <c r="O802" i="34"/>
  <c r="O803" i="34"/>
  <c r="O804" i="34"/>
  <c r="O805" i="34"/>
  <c r="O806" i="34"/>
  <c r="O807" i="34"/>
  <c r="O808" i="34"/>
  <c r="O809" i="34"/>
  <c r="O810" i="34"/>
  <c r="O811" i="34"/>
  <c r="O812" i="34"/>
  <c r="O813" i="34"/>
  <c r="O814" i="34"/>
  <c r="O815" i="34"/>
  <c r="O816" i="34"/>
  <c r="O817" i="34"/>
  <c r="O818" i="34"/>
  <c r="O819" i="34"/>
  <c r="O820" i="34"/>
  <c r="O821" i="34"/>
  <c r="O822" i="34"/>
  <c r="O823" i="34"/>
  <c r="O824" i="34"/>
  <c r="O825" i="34"/>
  <c r="O826" i="34"/>
  <c r="O827" i="34"/>
  <c r="O830" i="34"/>
  <c r="O831" i="34"/>
  <c r="O832" i="34"/>
  <c r="O833" i="34"/>
  <c r="O834" i="34"/>
  <c r="O835" i="34"/>
  <c r="O836" i="34"/>
  <c r="O841" i="34"/>
  <c r="O842" i="34"/>
  <c r="O843" i="34"/>
  <c r="O844" i="34"/>
  <c r="O845" i="34"/>
  <c r="O846" i="34"/>
  <c r="O847" i="34"/>
  <c r="O848" i="34"/>
  <c r="O849" i="34"/>
  <c r="O850" i="34"/>
  <c r="O851" i="34"/>
  <c r="O852" i="34"/>
  <c r="O853" i="34"/>
  <c r="O854" i="34"/>
  <c r="O855" i="34"/>
  <c r="O856" i="34"/>
  <c r="O857" i="34"/>
  <c r="O858" i="34"/>
  <c r="O859" i="34"/>
  <c r="O860" i="34"/>
  <c r="O861" i="34"/>
  <c r="O862" i="34"/>
  <c r="O863" i="34"/>
  <c r="O864" i="34"/>
  <c r="O865" i="34"/>
  <c r="O866" i="34"/>
  <c r="O867" i="34"/>
  <c r="O868" i="34"/>
  <c r="O871" i="34"/>
  <c r="O872" i="34"/>
  <c r="O873" i="34"/>
  <c r="O874" i="34"/>
  <c r="O875" i="34"/>
  <c r="O876" i="34"/>
  <c r="O881" i="34"/>
  <c r="O882" i="34"/>
  <c r="O883" i="34"/>
  <c r="O884" i="34"/>
  <c r="O885" i="34"/>
  <c r="O886" i="34"/>
  <c r="O887" i="34"/>
  <c r="O888" i="34"/>
  <c r="O891" i="34"/>
  <c r="O892" i="34"/>
  <c r="O893" i="34"/>
  <c r="O894" i="34"/>
  <c r="O895" i="34"/>
  <c r="O900" i="34"/>
  <c r="O901" i="34"/>
  <c r="O902" i="34"/>
  <c r="O903" i="34"/>
  <c r="O904" i="34"/>
  <c r="O905" i="34"/>
  <c r="O906" i="34"/>
  <c r="O907" i="34"/>
  <c r="O908" i="34"/>
  <c r="O909" i="34"/>
  <c r="O910" i="34"/>
  <c r="O911" i="34"/>
  <c r="O912" i="34"/>
  <c r="O913" i="34"/>
  <c r="O914" i="34"/>
  <c r="O915" i="34"/>
  <c r="O916" i="34"/>
  <c r="O917" i="34"/>
  <c r="O918" i="34"/>
  <c r="O919" i="34"/>
  <c r="O920" i="34"/>
  <c r="O921" i="34"/>
  <c r="O922" i="34"/>
  <c r="O923" i="34"/>
  <c r="O924" i="34"/>
  <c r="O925" i="34"/>
  <c r="O926" i="34"/>
  <c r="O927" i="34"/>
  <c r="O928" i="34"/>
  <c r="O929" i="34"/>
  <c r="O930" i="34"/>
  <c r="O931" i="34"/>
  <c r="O932" i="34"/>
  <c r="O933" i="34"/>
  <c r="O934" i="34"/>
  <c r="O935" i="34"/>
  <c r="O936" i="34"/>
  <c r="O937" i="34"/>
  <c r="O938" i="34"/>
  <c r="O939" i="34"/>
  <c r="O942" i="34"/>
  <c r="O943" i="34"/>
  <c r="O944" i="34"/>
  <c r="O945" i="34"/>
  <c r="O946" i="34"/>
  <c r="O947" i="34"/>
  <c r="O948" i="34"/>
  <c r="O949" i="34"/>
  <c r="O950" i="34"/>
  <c r="O951" i="34"/>
  <c r="O952" i="34"/>
  <c r="O953" i="34"/>
  <c r="O954" i="34"/>
  <c r="O955" i="34"/>
  <c r="O956" i="34"/>
  <c r="O957" i="34"/>
  <c r="O958" i="34"/>
  <c r="O959" i="34"/>
  <c r="O960" i="34"/>
  <c r="O961" i="34"/>
  <c r="O962" i="34"/>
  <c r="O963" i="34"/>
  <c r="O964" i="34"/>
  <c r="O965" i="34"/>
  <c r="O966" i="34"/>
  <c r="O967" i="34"/>
  <c r="O968" i="34"/>
  <c r="O969" i="34"/>
  <c r="O970" i="34"/>
  <c r="O971" i="34"/>
  <c r="O972" i="34"/>
  <c r="O973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649" i="34" l="1"/>
  <c r="R24" i="60" l="1"/>
  <c r="R27" i="60"/>
  <c r="A1" i="60" l="1"/>
  <c r="B15" i="55"/>
  <c r="A15" i="55" s="1"/>
  <c r="B16" i="55"/>
  <c r="A16" i="55" s="1"/>
  <c r="R179" i="60"/>
  <c r="R180" i="60"/>
  <c r="R181" i="60"/>
  <c r="R182" i="60"/>
  <c r="R183" i="60"/>
  <c r="R184" i="60"/>
  <c r="R185" i="60"/>
  <c r="R186" i="60"/>
  <c r="R187" i="60"/>
  <c r="R188" i="60"/>
  <c r="R14" i="60"/>
  <c r="R15" i="60"/>
  <c r="R16" i="60"/>
  <c r="R17" i="60"/>
  <c r="R18" i="60"/>
  <c r="R19" i="60"/>
  <c r="R20" i="60"/>
  <c r="R21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74" i="60"/>
  <c r="R175" i="60"/>
  <c r="R176" i="60"/>
  <c r="R177" i="60"/>
  <c r="R178" i="60"/>
  <c r="R189" i="60"/>
  <c r="R194" i="60"/>
  <c r="R193" i="60"/>
  <c r="R192" i="60"/>
  <c r="R144" i="60"/>
  <c r="R143" i="60"/>
  <c r="R142" i="60"/>
  <c r="R141" i="60"/>
  <c r="R140" i="60"/>
  <c r="R139" i="60"/>
  <c r="I245" i="60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H150" i="60"/>
  <c r="J150" i="60" s="1"/>
  <c r="H151" i="60"/>
  <c r="J151" i="60" s="1"/>
  <c r="H152" i="60"/>
  <c r="J152" i="60" s="1"/>
  <c r="H153" i="60"/>
  <c r="H154" i="60"/>
  <c r="H155" i="60"/>
  <c r="H156" i="60"/>
  <c r="J156" i="60" s="1"/>
  <c r="H157" i="60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J191" i="60" s="1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J234" i="60" s="1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139" i="60"/>
  <c r="I131" i="60"/>
  <c r="H6" i="60"/>
  <c r="J6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J34" i="60" s="1"/>
  <c r="H35" i="60"/>
  <c r="J35" i="60" s="1"/>
  <c r="H36" i="60"/>
  <c r="J36" i="60" s="1"/>
  <c r="H37" i="60"/>
  <c r="J37" i="60" s="1"/>
  <c r="H38" i="60"/>
  <c r="J38" i="60" s="1"/>
  <c r="H39" i="60"/>
  <c r="J39" i="60" s="1"/>
  <c r="H40" i="60"/>
  <c r="J40" i="60" s="1"/>
  <c r="H41" i="60"/>
  <c r="J41" i="60" s="1"/>
  <c r="H42" i="60"/>
  <c r="J42" i="60" s="1"/>
  <c r="H43" i="60"/>
  <c r="J43" i="60" s="1"/>
  <c r="H44" i="60"/>
  <c r="J44" i="60" s="1"/>
  <c r="H45" i="60"/>
  <c r="J45" i="60" s="1"/>
  <c r="H46" i="60"/>
  <c r="J46" i="60" s="1"/>
  <c r="H47" i="60"/>
  <c r="J47" i="60" s="1"/>
  <c r="H48" i="60"/>
  <c r="J48" i="60" s="1"/>
  <c r="H49" i="60"/>
  <c r="J49" i="60" s="1"/>
  <c r="H50" i="60"/>
  <c r="J50" i="60" s="1"/>
  <c r="H51" i="60"/>
  <c r="J51" i="60" s="1"/>
  <c r="H52" i="60"/>
  <c r="J52" i="60" s="1"/>
  <c r="H7" i="60"/>
  <c r="J7" i="60" s="1"/>
  <c r="R6" i="60"/>
  <c r="R25" i="60"/>
  <c r="R26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R13" i="60"/>
  <c r="R8" i="60"/>
  <c r="R9" i="60"/>
  <c r="R10" i="60"/>
  <c r="R11" i="60"/>
  <c r="R12" i="60"/>
  <c r="D27" i="15"/>
  <c r="C27" i="15"/>
  <c r="C25" i="15"/>
  <c r="D25" i="15"/>
  <c r="B151" i="55"/>
  <c r="A151" i="55" s="1"/>
  <c r="E217" i="55"/>
  <c r="A217" i="55"/>
  <c r="F217" i="55"/>
  <c r="F218" i="55" s="1"/>
  <c r="H245" i="60" l="1"/>
  <c r="R196" i="60"/>
  <c r="R198" i="60" s="1"/>
  <c r="R191" i="60"/>
  <c r="R197" i="60" s="1"/>
  <c r="J157" i="60"/>
  <c r="J155" i="60"/>
  <c r="J154" i="60"/>
  <c r="J153" i="60"/>
  <c r="J149" i="60"/>
  <c r="J146" i="60"/>
  <c r="J139" i="60"/>
  <c r="J131" i="60"/>
  <c r="H131" i="60"/>
  <c r="R29" i="60"/>
  <c r="R31" i="60" s="1"/>
  <c r="B152" i="55"/>
  <c r="N14" i="34"/>
  <c r="S14" i="34"/>
  <c r="T14" i="34"/>
  <c r="U14" i="34"/>
  <c r="Y14" i="34"/>
  <c r="Z14" i="34"/>
  <c r="N15" i="34"/>
  <c r="S15" i="34"/>
  <c r="T15" i="34"/>
  <c r="U15" i="34"/>
  <c r="Y15" i="34"/>
  <c r="Z15" i="34"/>
  <c r="N16" i="34"/>
  <c r="S16" i="34"/>
  <c r="T16" i="34"/>
  <c r="U16" i="34"/>
  <c r="Y16" i="34"/>
  <c r="Z16" i="34"/>
  <c r="N17" i="34"/>
  <c r="S17" i="34"/>
  <c r="T17" i="34"/>
  <c r="U17" i="34"/>
  <c r="Y17" i="34"/>
  <c r="Z17" i="34"/>
  <c r="N18" i="34"/>
  <c r="S18" i="34"/>
  <c r="T18" i="34"/>
  <c r="U18" i="34"/>
  <c r="Y18" i="34"/>
  <c r="Z18" i="34"/>
  <c r="N19" i="34"/>
  <c r="S19" i="34"/>
  <c r="T19" i="34"/>
  <c r="U19" i="34"/>
  <c r="Y19" i="34"/>
  <c r="Z19" i="34"/>
  <c r="N20" i="34"/>
  <c r="S20" i="34"/>
  <c r="T20" i="34"/>
  <c r="U20" i="34"/>
  <c r="Y20" i="34"/>
  <c r="Z20" i="34"/>
  <c r="N21" i="34"/>
  <c r="S21" i="34"/>
  <c r="T21" i="34"/>
  <c r="U21" i="34"/>
  <c r="Y21" i="34"/>
  <c r="Z21" i="34"/>
  <c r="N22" i="34"/>
  <c r="Y22" i="34"/>
  <c r="Z22" i="34"/>
  <c r="N23" i="34"/>
  <c r="Y23" i="34"/>
  <c r="Z23" i="34"/>
  <c r="N24" i="34"/>
  <c r="Y24" i="34"/>
  <c r="Z24" i="34"/>
  <c r="N25" i="34"/>
  <c r="Y25" i="34"/>
  <c r="Z25" i="34"/>
  <c r="N26" i="34"/>
  <c r="Y26" i="34"/>
  <c r="Z26" i="34"/>
  <c r="N27" i="34"/>
  <c r="Y27" i="34"/>
  <c r="Z27" i="34"/>
  <c r="N28" i="34"/>
  <c r="Y28" i="34"/>
  <c r="Z28" i="34"/>
  <c r="N29" i="34"/>
  <c r="Y29" i="34"/>
  <c r="Z29" i="34"/>
  <c r="N30" i="34"/>
  <c r="Y30" i="34"/>
  <c r="Z30" i="34"/>
  <c r="N31" i="34"/>
  <c r="Y31" i="34"/>
  <c r="Z31" i="34"/>
  <c r="N40" i="34"/>
  <c r="Y40" i="34"/>
  <c r="Z40" i="34"/>
  <c r="N41" i="34"/>
  <c r="Y41" i="34"/>
  <c r="Z41" i="34"/>
  <c r="N32" i="34"/>
  <c r="Y32" i="34"/>
  <c r="Z32" i="34"/>
  <c r="N33" i="34"/>
  <c r="Y33" i="34"/>
  <c r="Z33" i="34"/>
  <c r="N34" i="34"/>
  <c r="Y34" i="34"/>
  <c r="Z34" i="34"/>
  <c r="N35" i="34"/>
  <c r="Y35" i="34"/>
  <c r="Z35" i="34"/>
  <c r="N46" i="34"/>
  <c r="Y46" i="34"/>
  <c r="Z46" i="34"/>
  <c r="N47" i="34"/>
  <c r="Y47" i="34"/>
  <c r="Z47" i="34"/>
  <c r="N68" i="34"/>
  <c r="Y68" i="34"/>
  <c r="Z68" i="34"/>
  <c r="N61" i="34"/>
  <c r="S61" i="34"/>
  <c r="T61" i="34"/>
  <c r="U61" i="34"/>
  <c r="Y61" i="34"/>
  <c r="Z61" i="34"/>
  <c r="N62" i="34"/>
  <c r="S62" i="34"/>
  <c r="T62" i="34"/>
  <c r="U62" i="34"/>
  <c r="Y62" i="34"/>
  <c r="Z62" i="34"/>
  <c r="N42" i="34"/>
  <c r="S42" i="34"/>
  <c r="T42" i="34"/>
  <c r="U42" i="34"/>
  <c r="Y42" i="34"/>
  <c r="Z42" i="34"/>
  <c r="N43" i="34"/>
  <c r="S43" i="34"/>
  <c r="T43" i="34"/>
  <c r="U43" i="34"/>
  <c r="Y43" i="34"/>
  <c r="Z43" i="34"/>
  <c r="N44" i="34"/>
  <c r="S44" i="34"/>
  <c r="T44" i="34"/>
  <c r="U44" i="34"/>
  <c r="Y44" i="34"/>
  <c r="Z44" i="34"/>
  <c r="N45" i="34"/>
  <c r="S45" i="34"/>
  <c r="T45" i="34"/>
  <c r="U45" i="34"/>
  <c r="Y45" i="34"/>
  <c r="Z45" i="34"/>
  <c r="N36" i="34"/>
  <c r="S36" i="34"/>
  <c r="T36" i="34"/>
  <c r="U36" i="34"/>
  <c r="Y36" i="34"/>
  <c r="Z36" i="34"/>
  <c r="N37" i="34"/>
  <c r="S37" i="34"/>
  <c r="T37" i="34"/>
  <c r="U37" i="34"/>
  <c r="Y37" i="34"/>
  <c r="Z37" i="34"/>
  <c r="N38" i="34"/>
  <c r="S38" i="34"/>
  <c r="T38" i="34"/>
  <c r="U38" i="34"/>
  <c r="Y38" i="34"/>
  <c r="Z38" i="34"/>
  <c r="N39" i="34"/>
  <c r="S39" i="34"/>
  <c r="T39" i="34"/>
  <c r="U39" i="34"/>
  <c r="Y39" i="34"/>
  <c r="Z39" i="34"/>
  <c r="N78" i="34"/>
  <c r="Y78" i="34"/>
  <c r="Z78" i="34"/>
  <c r="N79" i="34"/>
  <c r="Y79" i="34"/>
  <c r="Z79" i="34"/>
  <c r="N80" i="34"/>
  <c r="Y80" i="34"/>
  <c r="Z80" i="34"/>
  <c r="N81" i="34"/>
  <c r="Y81" i="34"/>
  <c r="Z81" i="34"/>
  <c r="N82" i="34"/>
  <c r="Y82" i="34"/>
  <c r="Z82" i="34"/>
  <c r="N83" i="34"/>
  <c r="Y83" i="34"/>
  <c r="Z83" i="34"/>
  <c r="N84" i="34"/>
  <c r="Y84" i="34"/>
  <c r="Z84" i="34"/>
  <c r="N85" i="34"/>
  <c r="Y85" i="34"/>
  <c r="Z85" i="34"/>
  <c r="N86" i="34"/>
  <c r="Y86" i="34"/>
  <c r="Z86" i="34"/>
  <c r="N87" i="34"/>
  <c r="Y87" i="34"/>
  <c r="Z87" i="34"/>
  <c r="N88" i="34"/>
  <c r="Y88" i="34"/>
  <c r="Z88" i="34"/>
  <c r="N89" i="34"/>
  <c r="Y89" i="34"/>
  <c r="Z89" i="34"/>
  <c r="N93" i="34"/>
  <c r="Y93" i="34"/>
  <c r="Z93" i="34"/>
  <c r="N94" i="34"/>
  <c r="Y94" i="34"/>
  <c r="Z94" i="34"/>
  <c r="N95" i="34"/>
  <c r="Y95" i="34"/>
  <c r="Z95" i="34"/>
  <c r="N96" i="34"/>
  <c r="Y96" i="34"/>
  <c r="Z96" i="34"/>
  <c r="N97" i="34"/>
  <c r="Y97" i="34"/>
  <c r="Z97" i="34"/>
  <c r="N98" i="34"/>
  <c r="Y98" i="34"/>
  <c r="Z98" i="34"/>
  <c r="N99" i="34"/>
  <c r="Y99" i="34"/>
  <c r="Z99" i="34"/>
  <c r="N100" i="34"/>
  <c r="Y100" i="34"/>
  <c r="Z100" i="34"/>
  <c r="N101" i="34"/>
  <c r="Y101" i="34"/>
  <c r="Z101" i="34"/>
  <c r="N102" i="34"/>
  <c r="Y102" i="34"/>
  <c r="Z102" i="34"/>
  <c r="N103" i="34"/>
  <c r="Y103" i="34"/>
  <c r="Z103" i="34"/>
  <c r="N104" i="34"/>
  <c r="Y104" i="34"/>
  <c r="Z104" i="34"/>
  <c r="N105" i="34"/>
  <c r="Y105" i="34"/>
  <c r="Z105" i="34"/>
  <c r="N106" i="34"/>
  <c r="Y106" i="34"/>
  <c r="Z106" i="34"/>
  <c r="N107" i="34"/>
  <c r="Y107" i="34"/>
  <c r="Z107" i="34"/>
  <c r="N108" i="34"/>
  <c r="Y108" i="34"/>
  <c r="Z108" i="34"/>
  <c r="N109" i="34"/>
  <c r="Y109" i="34"/>
  <c r="Z109" i="34"/>
  <c r="N112" i="34"/>
  <c r="Y112" i="34"/>
  <c r="Z112" i="34"/>
  <c r="N113" i="34"/>
  <c r="Y113" i="34"/>
  <c r="Z113" i="34"/>
  <c r="N114" i="34"/>
  <c r="Y114" i="34"/>
  <c r="Z114" i="34"/>
  <c r="N115" i="34"/>
  <c r="Y115" i="34"/>
  <c r="Z115" i="34"/>
  <c r="N120" i="34"/>
  <c r="Y120" i="34"/>
  <c r="Z120" i="34"/>
  <c r="N121" i="34"/>
  <c r="Y121" i="34"/>
  <c r="Z121" i="34"/>
  <c r="N122" i="34"/>
  <c r="Y122" i="34"/>
  <c r="Z122" i="34"/>
  <c r="N126" i="34"/>
  <c r="Y126" i="34"/>
  <c r="Z126" i="34"/>
  <c r="N127" i="34"/>
  <c r="Y127" i="34"/>
  <c r="Z127" i="34"/>
  <c r="N131" i="34"/>
  <c r="Y131" i="34"/>
  <c r="Z131" i="34"/>
  <c r="N137" i="34"/>
  <c r="Y137" i="34"/>
  <c r="Z137" i="34"/>
  <c r="N140" i="34"/>
  <c r="Y140" i="34"/>
  <c r="Z140" i="34"/>
  <c r="N141" i="34"/>
  <c r="Y141" i="34"/>
  <c r="Z141" i="34"/>
  <c r="N147" i="34"/>
  <c r="Y147" i="34"/>
  <c r="Z147" i="34"/>
  <c r="N148" i="34"/>
  <c r="Y148" i="34"/>
  <c r="Z148" i="34"/>
  <c r="N156" i="34"/>
  <c r="Y156" i="34"/>
  <c r="Z156" i="34"/>
  <c r="N157" i="34"/>
  <c r="Y157" i="34"/>
  <c r="Z157" i="34"/>
  <c r="N158" i="34"/>
  <c r="Y158" i="34"/>
  <c r="Z158" i="34"/>
  <c r="N159" i="34"/>
  <c r="Y159" i="34"/>
  <c r="Z159" i="34"/>
  <c r="N160" i="34"/>
  <c r="S160" i="34"/>
  <c r="T160" i="34"/>
  <c r="U160" i="34"/>
  <c r="Y160" i="34"/>
  <c r="Z160" i="34"/>
  <c r="N161" i="34"/>
  <c r="S161" i="34"/>
  <c r="T161" i="34"/>
  <c r="U161" i="34"/>
  <c r="Y161" i="34"/>
  <c r="Z161" i="34"/>
  <c r="N162" i="34"/>
  <c r="S162" i="34"/>
  <c r="T162" i="34"/>
  <c r="U162" i="34"/>
  <c r="Y162" i="34"/>
  <c r="Z162" i="34"/>
  <c r="N163" i="34"/>
  <c r="S163" i="34"/>
  <c r="T163" i="34"/>
  <c r="U163" i="34"/>
  <c r="Y163" i="34"/>
  <c r="Z163" i="34"/>
  <c r="N164" i="34"/>
  <c r="S164" i="34"/>
  <c r="T164" i="34"/>
  <c r="U164" i="34"/>
  <c r="Y164" i="34"/>
  <c r="Z164" i="34"/>
  <c r="N165" i="34"/>
  <c r="S165" i="34"/>
  <c r="T165" i="34"/>
  <c r="U165" i="34"/>
  <c r="Y165" i="34"/>
  <c r="Z165" i="34"/>
  <c r="N166" i="34"/>
  <c r="S166" i="34"/>
  <c r="T166" i="34"/>
  <c r="U166" i="34"/>
  <c r="Y166" i="34"/>
  <c r="Z166" i="34"/>
  <c r="N167" i="34"/>
  <c r="S167" i="34"/>
  <c r="T167" i="34"/>
  <c r="U167" i="34"/>
  <c r="Y167" i="34"/>
  <c r="Z167" i="34"/>
  <c r="N168" i="34"/>
  <c r="S168" i="34"/>
  <c r="T168" i="34"/>
  <c r="U168" i="34"/>
  <c r="Y168" i="34"/>
  <c r="Z168" i="34"/>
  <c r="N169" i="34"/>
  <c r="S169" i="34"/>
  <c r="T169" i="34"/>
  <c r="U169" i="34"/>
  <c r="Y169" i="34"/>
  <c r="Z169" i="34"/>
  <c r="N170" i="34"/>
  <c r="S170" i="34"/>
  <c r="T170" i="34"/>
  <c r="U170" i="34"/>
  <c r="Y170" i="34"/>
  <c r="Z170" i="34"/>
  <c r="N171" i="34"/>
  <c r="S171" i="34"/>
  <c r="T171" i="34"/>
  <c r="U171" i="34"/>
  <c r="Y171" i="34"/>
  <c r="Z171" i="34"/>
  <c r="N172" i="34"/>
  <c r="S172" i="34"/>
  <c r="T172" i="34"/>
  <c r="U172" i="34"/>
  <c r="Y172" i="34"/>
  <c r="Z172" i="34"/>
  <c r="N173" i="34"/>
  <c r="S173" i="34"/>
  <c r="T173" i="34"/>
  <c r="U173" i="34"/>
  <c r="Y173" i="34"/>
  <c r="Z173" i="34"/>
  <c r="N174" i="34"/>
  <c r="S174" i="34"/>
  <c r="T174" i="34"/>
  <c r="U174" i="34"/>
  <c r="Y174" i="34"/>
  <c r="Z174" i="34"/>
  <c r="N175" i="34"/>
  <c r="S175" i="34"/>
  <c r="T175" i="34"/>
  <c r="U175" i="34"/>
  <c r="Y175" i="34"/>
  <c r="Z175" i="34"/>
  <c r="N176" i="34"/>
  <c r="S176" i="34"/>
  <c r="T176" i="34"/>
  <c r="U176" i="34"/>
  <c r="Y176" i="34"/>
  <c r="Z176" i="34"/>
  <c r="N177" i="34"/>
  <c r="S177" i="34"/>
  <c r="T177" i="34"/>
  <c r="U177" i="34"/>
  <c r="Y177" i="34"/>
  <c r="Z177" i="34"/>
  <c r="N178" i="34"/>
  <c r="S178" i="34"/>
  <c r="T178" i="34"/>
  <c r="U178" i="34"/>
  <c r="Y178" i="34"/>
  <c r="Z178" i="34"/>
  <c r="N179" i="34"/>
  <c r="S179" i="34"/>
  <c r="T179" i="34"/>
  <c r="U179" i="34"/>
  <c r="Y179" i="34"/>
  <c r="Z179" i="34"/>
  <c r="N180" i="34"/>
  <c r="S180" i="34"/>
  <c r="T180" i="34"/>
  <c r="U180" i="34"/>
  <c r="Y180" i="34"/>
  <c r="Z180" i="34"/>
  <c r="N181" i="34"/>
  <c r="S181" i="34"/>
  <c r="T181" i="34"/>
  <c r="U181" i="34"/>
  <c r="Y181" i="34"/>
  <c r="Z181" i="34"/>
  <c r="N182" i="34"/>
  <c r="S182" i="34"/>
  <c r="T182" i="34"/>
  <c r="U182" i="34"/>
  <c r="Y182" i="34"/>
  <c r="Z182" i="34"/>
  <c r="N183" i="34"/>
  <c r="S183" i="34"/>
  <c r="T183" i="34"/>
  <c r="U183" i="34"/>
  <c r="Y183" i="34"/>
  <c r="Z183" i="34"/>
  <c r="N184" i="34"/>
  <c r="S184" i="34"/>
  <c r="T184" i="34"/>
  <c r="U184" i="34"/>
  <c r="Y184" i="34"/>
  <c r="Z184" i="34"/>
  <c r="N185" i="34"/>
  <c r="S185" i="34"/>
  <c r="T185" i="34"/>
  <c r="U185" i="34"/>
  <c r="Y185" i="34"/>
  <c r="Z185" i="34"/>
  <c r="N186" i="34"/>
  <c r="S186" i="34"/>
  <c r="T186" i="34"/>
  <c r="U186" i="34"/>
  <c r="Y186" i="34"/>
  <c r="Z186" i="34"/>
  <c r="N187" i="34"/>
  <c r="S187" i="34"/>
  <c r="T187" i="34"/>
  <c r="U187" i="34"/>
  <c r="Y187" i="34"/>
  <c r="Z187" i="34"/>
  <c r="N188" i="34"/>
  <c r="S188" i="34"/>
  <c r="T188" i="34"/>
  <c r="U188" i="34"/>
  <c r="Y188" i="34"/>
  <c r="Z188" i="34"/>
  <c r="N189" i="34"/>
  <c r="S189" i="34"/>
  <c r="T189" i="34"/>
  <c r="U189" i="34"/>
  <c r="Y189" i="34"/>
  <c r="Z189" i="34"/>
  <c r="N190" i="34"/>
  <c r="S190" i="34"/>
  <c r="T190" i="34"/>
  <c r="U190" i="34"/>
  <c r="Y190" i="34"/>
  <c r="Z190" i="34"/>
  <c r="N191" i="34"/>
  <c r="S191" i="34"/>
  <c r="T191" i="34"/>
  <c r="U191" i="34"/>
  <c r="Y191" i="34"/>
  <c r="Z191" i="34"/>
  <c r="N192" i="34"/>
  <c r="S192" i="34"/>
  <c r="T192" i="34"/>
  <c r="U192" i="34"/>
  <c r="Y192" i="34"/>
  <c r="Z192" i="34"/>
  <c r="N193" i="34"/>
  <c r="S193" i="34"/>
  <c r="T193" i="34"/>
  <c r="U193" i="34"/>
  <c r="Y193" i="34"/>
  <c r="Z193" i="34"/>
  <c r="N194" i="34"/>
  <c r="S194" i="34"/>
  <c r="T194" i="34"/>
  <c r="U194" i="34"/>
  <c r="Y194" i="34"/>
  <c r="Z194" i="34"/>
  <c r="N195" i="34"/>
  <c r="S195" i="34"/>
  <c r="T195" i="34"/>
  <c r="U195" i="34"/>
  <c r="Y195" i="34"/>
  <c r="Z195" i="34"/>
  <c r="N196" i="34"/>
  <c r="S196" i="34"/>
  <c r="T196" i="34"/>
  <c r="U196" i="34"/>
  <c r="Y196" i="34"/>
  <c r="Z196" i="34"/>
  <c r="N197" i="34"/>
  <c r="S197" i="34"/>
  <c r="T197" i="34"/>
  <c r="U197" i="34"/>
  <c r="Y197" i="34"/>
  <c r="Z197" i="34"/>
  <c r="N198" i="34"/>
  <c r="S198" i="34"/>
  <c r="T198" i="34"/>
  <c r="U198" i="34"/>
  <c r="Y198" i="34"/>
  <c r="Z198" i="34"/>
  <c r="N199" i="34"/>
  <c r="S199" i="34"/>
  <c r="T199" i="34"/>
  <c r="U199" i="34"/>
  <c r="Y199" i="34"/>
  <c r="Z199" i="34"/>
  <c r="N200" i="34"/>
  <c r="S200" i="34"/>
  <c r="T200" i="34"/>
  <c r="U200" i="34"/>
  <c r="Y200" i="34"/>
  <c r="Z200" i="34"/>
  <c r="N201" i="34"/>
  <c r="S201" i="34"/>
  <c r="T201" i="34"/>
  <c r="U201" i="34"/>
  <c r="Y201" i="34"/>
  <c r="Z201" i="34"/>
  <c r="N202" i="34"/>
  <c r="S202" i="34"/>
  <c r="T202" i="34"/>
  <c r="U202" i="34"/>
  <c r="Y202" i="34"/>
  <c r="Z202" i="34"/>
  <c r="N203" i="34"/>
  <c r="S203" i="34"/>
  <c r="T203" i="34"/>
  <c r="U203" i="34"/>
  <c r="Y203" i="34"/>
  <c r="Z203" i="34"/>
  <c r="N204" i="34"/>
  <c r="Y204" i="34"/>
  <c r="Z204" i="34"/>
  <c r="N205" i="34"/>
  <c r="S205" i="34"/>
  <c r="T205" i="34"/>
  <c r="U205" i="34"/>
  <c r="Y205" i="34"/>
  <c r="Z205" i="34"/>
  <c r="N206" i="34"/>
  <c r="S206" i="34"/>
  <c r="T206" i="34"/>
  <c r="U206" i="34"/>
  <c r="Y206" i="34"/>
  <c r="Z206" i="34"/>
  <c r="N207" i="34"/>
  <c r="S207" i="34"/>
  <c r="T207" i="34"/>
  <c r="U207" i="34"/>
  <c r="Y207" i="34"/>
  <c r="Z207" i="34"/>
  <c r="N208" i="34"/>
  <c r="S208" i="34"/>
  <c r="T208" i="34"/>
  <c r="U208" i="34"/>
  <c r="Y208" i="34"/>
  <c r="Z208" i="34"/>
  <c r="N209" i="34"/>
  <c r="S209" i="34"/>
  <c r="T209" i="34"/>
  <c r="U209" i="34"/>
  <c r="Y209" i="34"/>
  <c r="Z209" i="34"/>
  <c r="N210" i="34"/>
  <c r="S210" i="34"/>
  <c r="T210" i="34"/>
  <c r="U210" i="34"/>
  <c r="Y210" i="34"/>
  <c r="Z210" i="34"/>
  <c r="N211" i="34"/>
  <c r="S211" i="34"/>
  <c r="T211" i="34"/>
  <c r="U211" i="34"/>
  <c r="Y211" i="34"/>
  <c r="Z211" i="34"/>
  <c r="N212" i="34"/>
  <c r="S212" i="34"/>
  <c r="T212" i="34"/>
  <c r="U212" i="34"/>
  <c r="Y212" i="34"/>
  <c r="Z212" i="34"/>
  <c r="N213" i="34"/>
  <c r="S213" i="34"/>
  <c r="T213" i="34"/>
  <c r="U213" i="34"/>
  <c r="Y213" i="34"/>
  <c r="Z213" i="34"/>
  <c r="N214" i="34"/>
  <c r="S214" i="34"/>
  <c r="T214" i="34"/>
  <c r="U214" i="34"/>
  <c r="Y214" i="34"/>
  <c r="Z214" i="34"/>
  <c r="N215" i="34"/>
  <c r="S215" i="34"/>
  <c r="T215" i="34"/>
  <c r="U215" i="34"/>
  <c r="Y215" i="34"/>
  <c r="Z215" i="34"/>
  <c r="N216" i="34"/>
  <c r="S216" i="34"/>
  <c r="T216" i="34"/>
  <c r="U216" i="34"/>
  <c r="Y216" i="34"/>
  <c r="Z216" i="34"/>
  <c r="N217" i="34"/>
  <c r="S217" i="34"/>
  <c r="T217" i="34"/>
  <c r="U217" i="34"/>
  <c r="Y217" i="34"/>
  <c r="Z217" i="34"/>
  <c r="N218" i="34"/>
  <c r="S218" i="34"/>
  <c r="T218" i="34"/>
  <c r="U218" i="34"/>
  <c r="Y218" i="34"/>
  <c r="Z218" i="34"/>
  <c r="N219" i="34"/>
  <c r="S219" i="34"/>
  <c r="T219" i="34"/>
  <c r="U219" i="34"/>
  <c r="Y219" i="34"/>
  <c r="Z219" i="34"/>
  <c r="N220" i="34"/>
  <c r="S220" i="34"/>
  <c r="T220" i="34"/>
  <c r="U220" i="34"/>
  <c r="Y220" i="34"/>
  <c r="Z220" i="34"/>
  <c r="N221" i="34"/>
  <c r="S221" i="34"/>
  <c r="T221" i="34"/>
  <c r="U221" i="34"/>
  <c r="Y221" i="34"/>
  <c r="Z221" i="34"/>
  <c r="N222" i="34"/>
  <c r="S222" i="34"/>
  <c r="T222" i="34"/>
  <c r="U222" i="34"/>
  <c r="Y222" i="34"/>
  <c r="Z222" i="34"/>
  <c r="N223" i="34"/>
  <c r="S223" i="34"/>
  <c r="T223" i="34"/>
  <c r="U223" i="34"/>
  <c r="Y223" i="34"/>
  <c r="Z223" i="34"/>
  <c r="N224" i="34"/>
  <c r="S224" i="34"/>
  <c r="T224" i="34"/>
  <c r="U224" i="34"/>
  <c r="Y224" i="34"/>
  <c r="Z224" i="34"/>
  <c r="N225" i="34"/>
  <c r="S225" i="34"/>
  <c r="T225" i="34"/>
  <c r="U225" i="34"/>
  <c r="Y225" i="34"/>
  <c r="Z225" i="34"/>
  <c r="N226" i="34"/>
  <c r="S226" i="34"/>
  <c r="T226" i="34"/>
  <c r="U226" i="34"/>
  <c r="Y226" i="34"/>
  <c r="Z226" i="34"/>
  <c r="N227" i="34"/>
  <c r="S227" i="34"/>
  <c r="T227" i="34"/>
  <c r="U227" i="34"/>
  <c r="Y227" i="34"/>
  <c r="Z227" i="34"/>
  <c r="N228" i="34"/>
  <c r="S228" i="34"/>
  <c r="T228" i="34"/>
  <c r="U228" i="34"/>
  <c r="Y228" i="34"/>
  <c r="Z228" i="34"/>
  <c r="N229" i="34"/>
  <c r="S229" i="34"/>
  <c r="T229" i="34"/>
  <c r="U229" i="34"/>
  <c r="Y229" i="34"/>
  <c r="Z229" i="34"/>
  <c r="N230" i="34"/>
  <c r="S230" i="34"/>
  <c r="T230" i="34"/>
  <c r="U230" i="34"/>
  <c r="Y230" i="34"/>
  <c r="Z230" i="34"/>
  <c r="N231" i="34"/>
  <c r="S231" i="34"/>
  <c r="T231" i="34"/>
  <c r="U231" i="34"/>
  <c r="Y231" i="34"/>
  <c r="Z231" i="34"/>
  <c r="N232" i="34"/>
  <c r="S232" i="34"/>
  <c r="T232" i="34"/>
  <c r="U232" i="34"/>
  <c r="Y232" i="34"/>
  <c r="Z232" i="34"/>
  <c r="N233" i="34"/>
  <c r="S233" i="34"/>
  <c r="T233" i="34"/>
  <c r="U233" i="34"/>
  <c r="Y233" i="34"/>
  <c r="Z233" i="34"/>
  <c r="N234" i="34"/>
  <c r="S234" i="34"/>
  <c r="T234" i="34"/>
  <c r="U234" i="34"/>
  <c r="Y234" i="34"/>
  <c r="Z234" i="34"/>
  <c r="N235" i="34"/>
  <c r="S235" i="34"/>
  <c r="T235" i="34"/>
  <c r="U235" i="34"/>
  <c r="Y235" i="34"/>
  <c r="Z235" i="34"/>
  <c r="N236" i="34"/>
  <c r="S236" i="34"/>
  <c r="T236" i="34"/>
  <c r="U236" i="34"/>
  <c r="Y236" i="34"/>
  <c r="Z236" i="34"/>
  <c r="N237" i="34"/>
  <c r="S237" i="34"/>
  <c r="T237" i="34"/>
  <c r="U237" i="34"/>
  <c r="Y237" i="34"/>
  <c r="Z237" i="34"/>
  <c r="N238" i="34"/>
  <c r="S238" i="34"/>
  <c r="T238" i="34"/>
  <c r="U238" i="34"/>
  <c r="Y238" i="34"/>
  <c r="Z238" i="34"/>
  <c r="N239" i="34"/>
  <c r="S239" i="34"/>
  <c r="T239" i="34"/>
  <c r="U239" i="34"/>
  <c r="Y239" i="34"/>
  <c r="Z239" i="34"/>
  <c r="N240" i="34"/>
  <c r="S240" i="34"/>
  <c r="T240" i="34"/>
  <c r="U240" i="34"/>
  <c r="Y240" i="34"/>
  <c r="Z240" i="34"/>
  <c r="N241" i="34"/>
  <c r="S241" i="34"/>
  <c r="T241" i="34"/>
  <c r="U241" i="34"/>
  <c r="Y241" i="34"/>
  <c r="Z241" i="34"/>
  <c r="N242" i="34"/>
  <c r="S242" i="34"/>
  <c r="T242" i="34"/>
  <c r="U242" i="34"/>
  <c r="Y242" i="34"/>
  <c r="Z242" i="34"/>
  <c r="N243" i="34"/>
  <c r="S243" i="34"/>
  <c r="T243" i="34"/>
  <c r="U243" i="34"/>
  <c r="Y243" i="34"/>
  <c r="Z243" i="34"/>
  <c r="N244" i="34"/>
  <c r="S244" i="34"/>
  <c r="T244" i="34"/>
  <c r="U244" i="34"/>
  <c r="Y244" i="34"/>
  <c r="Z244" i="34"/>
  <c r="N245" i="34"/>
  <c r="S245" i="34"/>
  <c r="T245" i="34"/>
  <c r="U245" i="34"/>
  <c r="Y245" i="34"/>
  <c r="Z245" i="34"/>
  <c r="N246" i="34"/>
  <c r="S246" i="34"/>
  <c r="T246" i="34"/>
  <c r="U246" i="34"/>
  <c r="Y246" i="34"/>
  <c r="Z246" i="34"/>
  <c r="N247" i="34"/>
  <c r="S247" i="34"/>
  <c r="T247" i="34"/>
  <c r="U247" i="34"/>
  <c r="Y247" i="34"/>
  <c r="Z247" i="34"/>
  <c r="N248" i="34"/>
  <c r="S248" i="34"/>
  <c r="T248" i="34"/>
  <c r="U248" i="34"/>
  <c r="Y248" i="34"/>
  <c r="Z248" i="34"/>
  <c r="N249" i="34"/>
  <c r="S249" i="34"/>
  <c r="T249" i="34"/>
  <c r="U249" i="34"/>
  <c r="Y249" i="34"/>
  <c r="Z249" i="34"/>
  <c r="N250" i="34"/>
  <c r="S250" i="34"/>
  <c r="T250" i="34"/>
  <c r="U250" i="34"/>
  <c r="Y250" i="34"/>
  <c r="Z250" i="34"/>
  <c r="N251" i="34"/>
  <c r="S251" i="34"/>
  <c r="T251" i="34"/>
  <c r="U251" i="34"/>
  <c r="Y251" i="34"/>
  <c r="Z251" i="34"/>
  <c r="N252" i="34"/>
  <c r="S252" i="34"/>
  <c r="T252" i="34"/>
  <c r="U252" i="34"/>
  <c r="Y252" i="34"/>
  <c r="Z252" i="34"/>
  <c r="N253" i="34"/>
  <c r="S253" i="34"/>
  <c r="T253" i="34"/>
  <c r="U253" i="34"/>
  <c r="Y253" i="34"/>
  <c r="Z253" i="34"/>
  <c r="N254" i="34"/>
  <c r="S254" i="34"/>
  <c r="T254" i="34"/>
  <c r="U254" i="34"/>
  <c r="Y254" i="34"/>
  <c r="Z254" i="34"/>
  <c r="N255" i="34"/>
  <c r="S255" i="34"/>
  <c r="T255" i="34"/>
  <c r="U255" i="34"/>
  <c r="Y255" i="34"/>
  <c r="Z255" i="34"/>
  <c r="N256" i="34"/>
  <c r="S256" i="34"/>
  <c r="T256" i="34"/>
  <c r="U256" i="34"/>
  <c r="Y256" i="34"/>
  <c r="Z256" i="34"/>
  <c r="N257" i="34"/>
  <c r="Y257" i="34"/>
  <c r="Z257" i="34"/>
  <c r="N258" i="34"/>
  <c r="S258" i="34"/>
  <c r="T258" i="34"/>
  <c r="U258" i="34"/>
  <c r="Y258" i="34"/>
  <c r="Z258" i="34"/>
  <c r="N259" i="34"/>
  <c r="S259" i="34"/>
  <c r="T259" i="34"/>
  <c r="U259" i="34"/>
  <c r="Y259" i="34"/>
  <c r="Z259" i="34"/>
  <c r="N260" i="34"/>
  <c r="S260" i="34"/>
  <c r="T260" i="34"/>
  <c r="U260" i="34"/>
  <c r="Y260" i="34"/>
  <c r="Z260" i="34"/>
  <c r="N261" i="34"/>
  <c r="S261" i="34"/>
  <c r="T261" i="34"/>
  <c r="U261" i="34"/>
  <c r="Y261" i="34"/>
  <c r="Z261" i="34"/>
  <c r="N262" i="34"/>
  <c r="S262" i="34"/>
  <c r="T262" i="34"/>
  <c r="U262" i="34"/>
  <c r="Y262" i="34"/>
  <c r="Z262" i="34"/>
  <c r="N263" i="34"/>
  <c r="S263" i="34"/>
  <c r="T263" i="34"/>
  <c r="U263" i="34"/>
  <c r="Y263" i="34"/>
  <c r="Z263" i="34"/>
  <c r="N264" i="34"/>
  <c r="S264" i="34"/>
  <c r="T264" i="34"/>
  <c r="U264" i="34"/>
  <c r="Y264" i="34"/>
  <c r="Z264" i="34"/>
  <c r="N265" i="34"/>
  <c r="S265" i="34"/>
  <c r="T265" i="34"/>
  <c r="U265" i="34"/>
  <c r="Y265" i="34"/>
  <c r="Z265" i="34"/>
  <c r="N266" i="34"/>
  <c r="S266" i="34"/>
  <c r="T266" i="34"/>
  <c r="U266" i="34"/>
  <c r="Y266" i="34"/>
  <c r="Z266" i="34"/>
  <c r="N267" i="34"/>
  <c r="S267" i="34"/>
  <c r="T267" i="34"/>
  <c r="U267" i="34"/>
  <c r="Y267" i="34"/>
  <c r="Z267" i="34"/>
  <c r="N268" i="34"/>
  <c r="S268" i="34"/>
  <c r="T268" i="34"/>
  <c r="U268" i="34"/>
  <c r="Y268" i="34"/>
  <c r="Z268" i="34"/>
  <c r="N269" i="34"/>
  <c r="S269" i="34"/>
  <c r="T269" i="34"/>
  <c r="U269" i="34"/>
  <c r="Y269" i="34"/>
  <c r="Z269" i="34"/>
  <c r="N270" i="34"/>
  <c r="S270" i="34"/>
  <c r="T270" i="34"/>
  <c r="U270" i="34"/>
  <c r="Y270" i="34"/>
  <c r="Z270" i="34"/>
  <c r="N271" i="34"/>
  <c r="S271" i="34"/>
  <c r="T271" i="34"/>
  <c r="U271" i="34"/>
  <c r="Y271" i="34"/>
  <c r="Z271" i="34"/>
  <c r="N272" i="34"/>
  <c r="S272" i="34"/>
  <c r="T272" i="34"/>
  <c r="U272" i="34"/>
  <c r="Y272" i="34"/>
  <c r="Z272" i="34"/>
  <c r="N290" i="34"/>
  <c r="S290" i="34"/>
  <c r="T290" i="34"/>
  <c r="U290" i="34"/>
  <c r="Y290" i="34"/>
  <c r="Z290" i="34"/>
  <c r="N291" i="34"/>
  <c r="S291" i="34"/>
  <c r="T291" i="34"/>
  <c r="U291" i="34"/>
  <c r="Y291" i="34"/>
  <c r="Z291" i="34"/>
  <c r="N292" i="34"/>
  <c r="S292" i="34"/>
  <c r="T292" i="34"/>
  <c r="U292" i="34"/>
  <c r="Y292" i="34"/>
  <c r="Z292" i="34"/>
  <c r="N293" i="34"/>
  <c r="S293" i="34"/>
  <c r="T293" i="34"/>
  <c r="U293" i="34"/>
  <c r="Y293" i="34"/>
  <c r="Z293" i="34"/>
  <c r="N294" i="34"/>
  <c r="S294" i="34"/>
  <c r="T294" i="34"/>
  <c r="U294" i="34"/>
  <c r="Y294" i="34"/>
  <c r="Z294" i="34"/>
  <c r="N295" i="34"/>
  <c r="S295" i="34"/>
  <c r="T295" i="34"/>
  <c r="U295" i="34"/>
  <c r="Y295" i="34"/>
  <c r="Z295" i="34"/>
  <c r="N273" i="34"/>
  <c r="S273" i="34"/>
  <c r="T273" i="34"/>
  <c r="U273" i="34"/>
  <c r="Y273" i="34"/>
  <c r="Z273" i="34"/>
  <c r="N274" i="34"/>
  <c r="S274" i="34"/>
  <c r="T274" i="34"/>
  <c r="U274" i="34"/>
  <c r="Y274" i="34"/>
  <c r="Z274" i="34"/>
  <c r="N275" i="34"/>
  <c r="S275" i="34"/>
  <c r="T275" i="34"/>
  <c r="U275" i="34"/>
  <c r="Y275" i="34"/>
  <c r="Z275" i="34"/>
  <c r="N277" i="34"/>
  <c r="S277" i="34"/>
  <c r="T277" i="34"/>
  <c r="U277" i="34"/>
  <c r="Y277" i="34"/>
  <c r="Z277" i="34"/>
  <c r="N278" i="34"/>
  <c r="S278" i="34"/>
  <c r="T278" i="34"/>
  <c r="U278" i="34"/>
  <c r="Y278" i="34"/>
  <c r="Z278" i="34"/>
  <c r="N279" i="34"/>
  <c r="S279" i="34"/>
  <c r="T279" i="34"/>
  <c r="U279" i="34"/>
  <c r="Y279" i="34"/>
  <c r="Z279" i="34"/>
  <c r="N280" i="34"/>
  <c r="S280" i="34"/>
  <c r="T280" i="34"/>
  <c r="U280" i="34"/>
  <c r="Y280" i="34"/>
  <c r="Z280" i="34"/>
  <c r="N281" i="34"/>
  <c r="S281" i="34"/>
  <c r="T281" i="34"/>
  <c r="U281" i="34"/>
  <c r="Y281" i="34"/>
  <c r="Z281" i="34"/>
  <c r="N282" i="34"/>
  <c r="S282" i="34"/>
  <c r="T282" i="34"/>
  <c r="U282" i="34"/>
  <c r="Y282" i="34"/>
  <c r="Z282" i="34"/>
  <c r="N283" i="34"/>
  <c r="S283" i="34"/>
  <c r="T283" i="34"/>
  <c r="U283" i="34"/>
  <c r="Y283" i="34"/>
  <c r="Z283" i="34"/>
  <c r="N284" i="34"/>
  <c r="S284" i="34"/>
  <c r="T284" i="34"/>
  <c r="U284" i="34"/>
  <c r="Y284" i="34"/>
  <c r="Z284" i="34"/>
  <c r="N285" i="34"/>
  <c r="S285" i="34"/>
  <c r="T285" i="34"/>
  <c r="U285" i="34"/>
  <c r="Y285" i="34"/>
  <c r="Z285" i="34"/>
  <c r="N286" i="34"/>
  <c r="S286" i="34"/>
  <c r="T286" i="34"/>
  <c r="U286" i="34"/>
  <c r="Y286" i="34"/>
  <c r="Z286" i="34"/>
  <c r="N287" i="34"/>
  <c r="S287" i="34"/>
  <c r="T287" i="34"/>
  <c r="U287" i="34"/>
  <c r="Y287" i="34"/>
  <c r="Z287" i="34"/>
  <c r="N288" i="34"/>
  <c r="S288" i="34"/>
  <c r="T288" i="34"/>
  <c r="U288" i="34"/>
  <c r="Y288" i="34"/>
  <c r="Z288" i="34"/>
  <c r="N289" i="34"/>
  <c r="S289" i="34"/>
  <c r="T289" i="34"/>
  <c r="U289" i="34"/>
  <c r="Y289" i="34"/>
  <c r="Z289" i="34"/>
  <c r="N296" i="34"/>
  <c r="S296" i="34"/>
  <c r="T296" i="34"/>
  <c r="U296" i="34"/>
  <c r="Y296" i="34"/>
  <c r="Z296" i="34"/>
  <c r="N297" i="34"/>
  <c r="S297" i="34"/>
  <c r="T297" i="34"/>
  <c r="U297" i="34"/>
  <c r="Y297" i="34"/>
  <c r="Z297" i="34"/>
  <c r="N298" i="34"/>
  <c r="S298" i="34"/>
  <c r="T298" i="34"/>
  <c r="U298" i="34"/>
  <c r="Y298" i="34"/>
  <c r="Z298" i="34"/>
  <c r="N299" i="34"/>
  <c r="S299" i="34"/>
  <c r="T299" i="34"/>
  <c r="U299" i="34"/>
  <c r="Y299" i="34"/>
  <c r="Z299" i="34"/>
  <c r="N300" i="34"/>
  <c r="S300" i="34"/>
  <c r="T300" i="34"/>
  <c r="U300" i="34"/>
  <c r="Y300" i="34"/>
  <c r="Z300" i="34"/>
  <c r="N301" i="34"/>
  <c r="S301" i="34"/>
  <c r="T301" i="34"/>
  <c r="U301" i="34"/>
  <c r="Y301" i="34"/>
  <c r="Z301" i="34"/>
  <c r="N302" i="34"/>
  <c r="S302" i="34"/>
  <c r="T302" i="34"/>
  <c r="U302" i="34"/>
  <c r="Y302" i="34"/>
  <c r="Z302" i="34"/>
  <c r="N303" i="34"/>
  <c r="S303" i="34"/>
  <c r="T303" i="34"/>
  <c r="U303" i="34"/>
  <c r="Y303" i="34"/>
  <c r="Z303" i="34"/>
  <c r="N304" i="34"/>
  <c r="S304" i="34"/>
  <c r="T304" i="34"/>
  <c r="U304" i="34"/>
  <c r="Y304" i="34"/>
  <c r="Z304" i="34"/>
  <c r="N305" i="34"/>
  <c r="S305" i="34"/>
  <c r="T305" i="34"/>
  <c r="U305" i="34"/>
  <c r="Y305" i="34"/>
  <c r="Z305" i="34"/>
  <c r="N306" i="34"/>
  <c r="S306" i="34"/>
  <c r="T306" i="34"/>
  <c r="U306" i="34"/>
  <c r="Y306" i="34"/>
  <c r="Z306" i="34"/>
  <c r="N307" i="34"/>
  <c r="S307" i="34"/>
  <c r="T307" i="34"/>
  <c r="U307" i="34"/>
  <c r="Y307" i="34"/>
  <c r="Z307" i="34"/>
  <c r="N308" i="34"/>
  <c r="S308" i="34"/>
  <c r="T308" i="34"/>
  <c r="U308" i="34"/>
  <c r="Y308" i="34"/>
  <c r="Z308" i="34"/>
  <c r="N309" i="34"/>
  <c r="S309" i="34"/>
  <c r="T309" i="34"/>
  <c r="U309" i="34"/>
  <c r="Y309" i="34"/>
  <c r="Z309" i="34"/>
  <c r="N310" i="34"/>
  <c r="S310" i="34"/>
  <c r="T310" i="34"/>
  <c r="U310" i="34"/>
  <c r="Y310" i="34"/>
  <c r="Z310" i="34"/>
  <c r="N311" i="34"/>
  <c r="S311" i="34"/>
  <c r="T311" i="34"/>
  <c r="U311" i="34"/>
  <c r="Y311" i="34"/>
  <c r="Z311" i="34"/>
  <c r="N312" i="34"/>
  <c r="S312" i="34"/>
  <c r="T312" i="34"/>
  <c r="U312" i="34"/>
  <c r="Y312" i="34"/>
  <c r="Z312" i="34"/>
  <c r="N313" i="34"/>
  <c r="S313" i="34"/>
  <c r="T313" i="34"/>
  <c r="U313" i="34"/>
  <c r="Y313" i="34"/>
  <c r="Z313" i="34"/>
  <c r="N314" i="34"/>
  <c r="S314" i="34"/>
  <c r="T314" i="34"/>
  <c r="U314" i="34"/>
  <c r="Y314" i="34"/>
  <c r="Z314" i="34"/>
  <c r="N315" i="34"/>
  <c r="S315" i="34"/>
  <c r="T315" i="34"/>
  <c r="U315" i="34"/>
  <c r="Y315" i="34"/>
  <c r="Z315" i="34"/>
  <c r="N316" i="34"/>
  <c r="S316" i="34"/>
  <c r="T316" i="34"/>
  <c r="U316" i="34"/>
  <c r="Y316" i="34"/>
  <c r="Z316" i="34"/>
  <c r="N317" i="34"/>
  <c r="S317" i="34"/>
  <c r="T317" i="34"/>
  <c r="U317" i="34"/>
  <c r="Y317" i="34"/>
  <c r="Z317" i="34"/>
  <c r="N318" i="34"/>
  <c r="S318" i="34"/>
  <c r="T318" i="34"/>
  <c r="U318" i="34"/>
  <c r="Y318" i="34"/>
  <c r="Z318" i="34"/>
  <c r="N319" i="34"/>
  <c r="S319" i="34"/>
  <c r="T319" i="34"/>
  <c r="U319" i="34"/>
  <c r="Y319" i="34"/>
  <c r="Z319" i="34"/>
  <c r="N320" i="34"/>
  <c r="S320" i="34"/>
  <c r="T320" i="34"/>
  <c r="U320" i="34"/>
  <c r="Y320" i="34"/>
  <c r="Z320" i="34"/>
  <c r="N321" i="34"/>
  <c r="S321" i="34"/>
  <c r="T321" i="34"/>
  <c r="U321" i="34"/>
  <c r="Y321" i="34"/>
  <c r="Z321" i="34"/>
  <c r="N322" i="34"/>
  <c r="S322" i="34"/>
  <c r="T322" i="34"/>
  <c r="U322" i="34"/>
  <c r="Y322" i="34"/>
  <c r="Z322" i="34"/>
  <c r="N323" i="34"/>
  <c r="S323" i="34"/>
  <c r="T323" i="34"/>
  <c r="U323" i="34"/>
  <c r="Y323" i="34"/>
  <c r="Z323" i="34"/>
  <c r="N324" i="34"/>
  <c r="S324" i="34"/>
  <c r="T324" i="34"/>
  <c r="U324" i="34"/>
  <c r="Y324" i="34"/>
  <c r="Z324" i="34"/>
  <c r="N557" i="34"/>
  <c r="S557" i="34"/>
  <c r="T557" i="34"/>
  <c r="U557" i="34"/>
  <c r="Y557" i="34"/>
  <c r="Z557" i="34"/>
  <c r="N558" i="34"/>
  <c r="S558" i="34"/>
  <c r="T558" i="34"/>
  <c r="U558" i="34"/>
  <c r="Y558" i="34"/>
  <c r="Z558" i="34"/>
  <c r="N559" i="34"/>
  <c r="S559" i="34"/>
  <c r="T559" i="34"/>
  <c r="U559" i="34"/>
  <c r="Y559" i="34"/>
  <c r="Z559" i="34"/>
  <c r="N560" i="34"/>
  <c r="S560" i="34"/>
  <c r="T560" i="34"/>
  <c r="U560" i="34"/>
  <c r="Y560" i="34"/>
  <c r="Z560" i="34"/>
  <c r="N561" i="34"/>
  <c r="S561" i="34"/>
  <c r="T561" i="34"/>
  <c r="U561" i="34"/>
  <c r="Y561" i="34"/>
  <c r="Z561" i="34"/>
  <c r="N564" i="34"/>
  <c r="S564" i="34"/>
  <c r="T564" i="34"/>
  <c r="U564" i="34"/>
  <c r="Y564" i="34"/>
  <c r="Z564" i="34"/>
  <c r="N565" i="34"/>
  <c r="S565" i="34"/>
  <c r="T565" i="34"/>
  <c r="U565" i="34"/>
  <c r="Y565" i="34"/>
  <c r="Z565" i="34"/>
  <c r="N571" i="34"/>
  <c r="S571" i="34"/>
  <c r="T571" i="34"/>
  <c r="U571" i="34"/>
  <c r="Y571" i="34"/>
  <c r="Z571" i="34"/>
  <c r="N572" i="34"/>
  <c r="S572" i="34"/>
  <c r="T572" i="34"/>
  <c r="U572" i="34"/>
  <c r="Y572" i="34"/>
  <c r="Z572" i="34"/>
  <c r="N584" i="34"/>
  <c r="S584" i="34"/>
  <c r="T584" i="34"/>
  <c r="U584" i="34"/>
  <c r="Y584" i="34"/>
  <c r="Z584" i="34"/>
  <c r="N585" i="34"/>
  <c r="S585" i="34"/>
  <c r="T585" i="34"/>
  <c r="U585" i="34"/>
  <c r="Y585" i="34"/>
  <c r="Z585" i="34"/>
  <c r="N634" i="34"/>
  <c r="S634" i="34"/>
  <c r="T634" i="34"/>
  <c r="U634" i="34"/>
  <c r="Y634" i="34"/>
  <c r="Z634" i="34"/>
  <c r="N635" i="34"/>
  <c r="S635" i="34"/>
  <c r="T635" i="34"/>
  <c r="U635" i="34"/>
  <c r="Y635" i="34"/>
  <c r="Z635" i="34"/>
  <c r="N651" i="34"/>
  <c r="S651" i="34"/>
  <c r="T651" i="34"/>
  <c r="U651" i="34"/>
  <c r="Y651" i="34"/>
  <c r="Z651" i="34"/>
  <c r="N652" i="34"/>
  <c r="S652" i="34"/>
  <c r="T652" i="34"/>
  <c r="U652" i="34"/>
  <c r="Y652" i="34"/>
  <c r="Z652" i="34"/>
  <c r="N664" i="34"/>
  <c r="S664" i="34"/>
  <c r="T664" i="34"/>
  <c r="U664" i="34"/>
  <c r="Y664" i="34"/>
  <c r="Z664" i="34"/>
  <c r="N665" i="34"/>
  <c r="S665" i="34"/>
  <c r="T665" i="34"/>
  <c r="U665" i="34"/>
  <c r="Y665" i="34"/>
  <c r="Z665" i="34"/>
  <c r="N666" i="34"/>
  <c r="S666" i="34"/>
  <c r="T666" i="34"/>
  <c r="U666" i="34"/>
  <c r="Y666" i="34"/>
  <c r="Z666" i="34"/>
  <c r="N667" i="34"/>
  <c r="S667" i="34"/>
  <c r="T667" i="34"/>
  <c r="U667" i="34"/>
  <c r="Y667" i="34"/>
  <c r="Z667" i="34"/>
  <c r="N671" i="34"/>
  <c r="S671" i="34"/>
  <c r="T671" i="34"/>
  <c r="U671" i="34"/>
  <c r="Y671" i="34"/>
  <c r="Z671" i="34"/>
  <c r="N672" i="34"/>
  <c r="S672" i="34"/>
  <c r="T672" i="34"/>
  <c r="U672" i="34"/>
  <c r="Y672" i="34"/>
  <c r="Z672" i="34"/>
  <c r="N677" i="34"/>
  <c r="S677" i="34"/>
  <c r="T677" i="34"/>
  <c r="U677" i="34"/>
  <c r="Y677" i="34"/>
  <c r="Z677" i="34"/>
  <c r="N678" i="34"/>
  <c r="S678" i="34"/>
  <c r="T678" i="34"/>
  <c r="U678" i="34"/>
  <c r="Y678" i="34"/>
  <c r="Z678" i="34"/>
  <c r="N690" i="34"/>
  <c r="S690" i="34"/>
  <c r="T690" i="34"/>
  <c r="U690" i="34"/>
  <c r="Y690" i="34"/>
  <c r="Z690" i="34"/>
  <c r="N691" i="34"/>
  <c r="S691" i="34"/>
  <c r="T691" i="34"/>
  <c r="U691" i="34"/>
  <c r="Y691" i="34"/>
  <c r="Z691" i="34"/>
  <c r="N692" i="34"/>
  <c r="S692" i="34"/>
  <c r="T692" i="34"/>
  <c r="U692" i="34"/>
  <c r="Y692" i="34"/>
  <c r="Z692" i="34"/>
  <c r="N693" i="34"/>
  <c r="S693" i="34"/>
  <c r="T693" i="34"/>
  <c r="U693" i="34"/>
  <c r="Y693" i="34"/>
  <c r="Z693" i="34"/>
  <c r="N694" i="34"/>
  <c r="S694" i="34"/>
  <c r="T694" i="34"/>
  <c r="U694" i="34"/>
  <c r="Y694" i="34"/>
  <c r="Z694" i="34"/>
  <c r="N695" i="34"/>
  <c r="S695" i="34"/>
  <c r="T695" i="34"/>
  <c r="U695" i="34"/>
  <c r="Y695" i="34"/>
  <c r="Z695" i="34"/>
  <c r="N748" i="34"/>
  <c r="S748" i="34"/>
  <c r="T748" i="34"/>
  <c r="U748" i="34"/>
  <c r="Y748" i="34"/>
  <c r="Z748" i="34"/>
  <c r="N749" i="34"/>
  <c r="S749" i="34"/>
  <c r="T749" i="34"/>
  <c r="U749" i="34"/>
  <c r="Y749" i="34"/>
  <c r="Z749" i="34"/>
  <c r="N325" i="34"/>
  <c r="S325" i="34"/>
  <c r="T325" i="34"/>
  <c r="U325" i="34"/>
  <c r="Y325" i="34"/>
  <c r="Z325" i="34"/>
  <c r="N326" i="34"/>
  <c r="S326" i="34"/>
  <c r="T326" i="34"/>
  <c r="U326" i="34"/>
  <c r="Y326" i="34"/>
  <c r="Z326" i="34"/>
  <c r="N435" i="34"/>
  <c r="S435" i="34"/>
  <c r="T435" i="34"/>
  <c r="U435" i="34"/>
  <c r="Y435" i="34"/>
  <c r="Z435" i="34"/>
  <c r="N436" i="34"/>
  <c r="S436" i="34"/>
  <c r="T436" i="34"/>
  <c r="U436" i="34"/>
  <c r="Y436" i="34"/>
  <c r="Z436" i="34"/>
  <c r="N437" i="34"/>
  <c r="S437" i="34"/>
  <c r="T437" i="34"/>
  <c r="U437" i="34"/>
  <c r="Y437" i="34"/>
  <c r="Z437" i="34"/>
  <c r="N438" i="34"/>
  <c r="S438" i="34"/>
  <c r="T438" i="34"/>
  <c r="U438" i="34"/>
  <c r="Y438" i="34"/>
  <c r="Z438" i="34"/>
  <c r="N439" i="34"/>
  <c r="S439" i="34"/>
  <c r="T439" i="34"/>
  <c r="U439" i="34"/>
  <c r="Y439" i="34"/>
  <c r="Z439" i="34"/>
  <c r="N440" i="34"/>
  <c r="S440" i="34"/>
  <c r="T440" i="34"/>
  <c r="U440" i="34"/>
  <c r="Y440" i="34"/>
  <c r="Z440" i="34"/>
  <c r="N441" i="34"/>
  <c r="S441" i="34"/>
  <c r="T441" i="34"/>
  <c r="U441" i="34"/>
  <c r="Y441" i="34"/>
  <c r="Z441" i="34"/>
  <c r="N442" i="34"/>
  <c r="S442" i="34"/>
  <c r="T442" i="34"/>
  <c r="U442" i="34"/>
  <c r="Y442" i="34"/>
  <c r="Z442" i="34"/>
  <c r="N443" i="34"/>
  <c r="S443" i="34"/>
  <c r="T443" i="34"/>
  <c r="U443" i="34"/>
  <c r="Y443" i="34"/>
  <c r="Z443" i="34"/>
  <c r="N444" i="34"/>
  <c r="S444" i="34"/>
  <c r="T444" i="34"/>
  <c r="U444" i="34"/>
  <c r="Y444" i="34"/>
  <c r="Z444" i="34"/>
  <c r="N488" i="34"/>
  <c r="S488" i="34"/>
  <c r="T488" i="34"/>
  <c r="U488" i="34"/>
  <c r="Y488" i="34"/>
  <c r="Z488" i="34"/>
  <c r="N489" i="34"/>
  <c r="S489" i="34"/>
  <c r="T489" i="34"/>
  <c r="U489" i="34"/>
  <c r="Y489" i="34"/>
  <c r="Z489" i="34"/>
  <c r="N490" i="34"/>
  <c r="S490" i="34"/>
  <c r="T490" i="34"/>
  <c r="U490" i="34"/>
  <c r="Y490" i="34"/>
  <c r="Z490" i="34"/>
  <c r="N516" i="34"/>
  <c r="S516" i="34"/>
  <c r="T516" i="34"/>
  <c r="U516" i="34"/>
  <c r="Y516" i="34"/>
  <c r="Z516" i="34"/>
  <c r="N517" i="34"/>
  <c r="S517" i="34"/>
  <c r="T517" i="34"/>
  <c r="U517" i="34"/>
  <c r="Y517" i="34"/>
  <c r="Z517" i="34"/>
  <c r="N518" i="34"/>
  <c r="S518" i="34"/>
  <c r="T518" i="34"/>
  <c r="U518" i="34"/>
  <c r="Y518" i="34"/>
  <c r="Z518" i="34"/>
  <c r="N704" i="34"/>
  <c r="S704" i="34"/>
  <c r="T704" i="34"/>
  <c r="U704" i="34"/>
  <c r="Y704" i="34"/>
  <c r="Z704" i="34"/>
  <c r="N711" i="34"/>
  <c r="S711" i="34"/>
  <c r="T711" i="34"/>
  <c r="U711" i="34"/>
  <c r="Y711" i="34"/>
  <c r="Z711" i="34"/>
  <c r="N712" i="34"/>
  <c r="S712" i="34"/>
  <c r="T712" i="34"/>
  <c r="U712" i="34"/>
  <c r="Y712" i="34"/>
  <c r="Z712" i="34"/>
  <c r="N713" i="34"/>
  <c r="S713" i="34"/>
  <c r="T713" i="34"/>
  <c r="U713" i="34"/>
  <c r="Y713" i="34"/>
  <c r="Z713" i="34"/>
  <c r="N714" i="34"/>
  <c r="S714" i="34"/>
  <c r="T714" i="34"/>
  <c r="U714" i="34"/>
  <c r="Y714" i="34"/>
  <c r="Z714" i="34"/>
  <c r="N715" i="34"/>
  <c r="S715" i="34"/>
  <c r="T715" i="34"/>
  <c r="U715" i="34"/>
  <c r="Y715" i="34"/>
  <c r="Z715" i="34"/>
  <c r="N716" i="34"/>
  <c r="S716" i="34"/>
  <c r="T716" i="34"/>
  <c r="U716" i="34"/>
  <c r="Y716" i="34"/>
  <c r="Z716" i="34"/>
  <c r="N717" i="34"/>
  <c r="S717" i="34"/>
  <c r="T717" i="34"/>
  <c r="U717" i="34"/>
  <c r="Y717" i="34"/>
  <c r="Z717" i="34"/>
  <c r="N718" i="34"/>
  <c r="S718" i="34"/>
  <c r="T718" i="34"/>
  <c r="U718" i="34"/>
  <c r="Y718" i="34"/>
  <c r="Z718" i="34"/>
  <c r="N719" i="34"/>
  <c r="S719" i="34"/>
  <c r="T719" i="34"/>
  <c r="U719" i="34"/>
  <c r="Y719" i="34"/>
  <c r="Z719" i="34"/>
  <c r="N720" i="34"/>
  <c r="S720" i="34"/>
  <c r="T720" i="34"/>
  <c r="U720" i="34"/>
  <c r="Y720" i="34"/>
  <c r="Z720" i="34"/>
  <c r="N721" i="34"/>
  <c r="S721" i="34"/>
  <c r="T721" i="34"/>
  <c r="U721" i="34"/>
  <c r="Y721" i="34"/>
  <c r="Z721" i="34"/>
  <c r="N760" i="34"/>
  <c r="S760" i="34"/>
  <c r="T760" i="34"/>
  <c r="U760" i="34"/>
  <c r="Y760" i="34"/>
  <c r="Z760" i="34"/>
  <c r="N761" i="34"/>
  <c r="S761" i="34"/>
  <c r="T761" i="34"/>
  <c r="U761" i="34"/>
  <c r="Y761" i="34"/>
  <c r="Z761" i="34"/>
  <c r="N762" i="34"/>
  <c r="S762" i="34"/>
  <c r="T762" i="34"/>
  <c r="U762" i="34"/>
  <c r="Y762" i="34"/>
  <c r="Z762" i="34"/>
  <c r="N767" i="34"/>
  <c r="S767" i="34"/>
  <c r="T767" i="34"/>
  <c r="U767" i="34"/>
  <c r="Y767" i="34"/>
  <c r="Z767" i="34"/>
  <c r="N763" i="34"/>
  <c r="S763" i="34"/>
  <c r="T763" i="34"/>
  <c r="U763" i="34"/>
  <c r="Y763" i="34"/>
  <c r="Z763" i="34"/>
  <c r="N764" i="34"/>
  <c r="S764" i="34"/>
  <c r="T764" i="34"/>
  <c r="U764" i="34"/>
  <c r="Y764" i="34"/>
  <c r="Z764" i="34"/>
  <c r="N765" i="34"/>
  <c r="S765" i="34"/>
  <c r="T765" i="34"/>
  <c r="U765" i="34"/>
  <c r="Y765" i="34"/>
  <c r="Z765" i="34"/>
  <c r="N766" i="34"/>
  <c r="S766" i="34"/>
  <c r="T766" i="34"/>
  <c r="U766" i="34"/>
  <c r="Y766" i="34"/>
  <c r="Z766" i="34"/>
  <c r="N768" i="34"/>
  <c r="S768" i="34"/>
  <c r="T768" i="34"/>
  <c r="U768" i="34"/>
  <c r="Y768" i="34"/>
  <c r="Z768" i="34"/>
  <c r="N769" i="34"/>
  <c r="S769" i="34"/>
  <c r="T769" i="34"/>
  <c r="U769" i="34"/>
  <c r="Y769" i="34"/>
  <c r="Z769" i="34"/>
  <c r="N770" i="34"/>
  <c r="S770" i="34"/>
  <c r="T770" i="34"/>
  <c r="U770" i="34"/>
  <c r="Y770" i="34"/>
  <c r="Z770" i="34"/>
  <c r="N771" i="34"/>
  <c r="S771" i="34"/>
  <c r="T771" i="34"/>
  <c r="U771" i="34"/>
  <c r="Y771" i="34"/>
  <c r="Z771" i="34"/>
  <c r="N772" i="34"/>
  <c r="S772" i="34"/>
  <c r="T772" i="34"/>
  <c r="U772" i="34"/>
  <c r="Y772" i="34"/>
  <c r="Z772" i="34"/>
  <c r="N773" i="34"/>
  <c r="S773" i="34"/>
  <c r="T773" i="34"/>
  <c r="U773" i="34"/>
  <c r="Y773" i="34"/>
  <c r="Z773" i="34"/>
  <c r="N776" i="34"/>
  <c r="S776" i="34"/>
  <c r="T776" i="34"/>
  <c r="U776" i="34"/>
  <c r="Y776" i="34"/>
  <c r="Z776" i="34"/>
  <c r="N777" i="34"/>
  <c r="S777" i="34"/>
  <c r="T777" i="34"/>
  <c r="U777" i="34"/>
  <c r="Y777" i="34"/>
  <c r="Z777" i="34"/>
  <c r="N778" i="34"/>
  <c r="S778" i="34"/>
  <c r="T778" i="34"/>
  <c r="U778" i="34"/>
  <c r="Y778" i="34"/>
  <c r="Z778" i="34"/>
  <c r="N779" i="34"/>
  <c r="S779" i="34"/>
  <c r="T779" i="34"/>
  <c r="U779" i="34"/>
  <c r="Y779" i="34"/>
  <c r="Z779" i="34"/>
  <c r="N828" i="34"/>
  <c r="S828" i="34"/>
  <c r="T828" i="34"/>
  <c r="U828" i="34"/>
  <c r="Y828" i="34"/>
  <c r="Z828" i="34"/>
  <c r="N829" i="34"/>
  <c r="S829" i="34"/>
  <c r="T829" i="34"/>
  <c r="U829" i="34"/>
  <c r="Y829" i="34"/>
  <c r="Z829" i="34"/>
  <c r="N837" i="34"/>
  <c r="S837" i="34"/>
  <c r="T837" i="34"/>
  <c r="U837" i="34"/>
  <c r="Y837" i="34"/>
  <c r="Z837" i="34"/>
  <c r="N838" i="34"/>
  <c r="S838" i="34"/>
  <c r="T838" i="34"/>
  <c r="U838" i="34"/>
  <c r="Y838" i="34"/>
  <c r="Z838" i="34"/>
  <c r="N839" i="34"/>
  <c r="S839" i="34"/>
  <c r="T839" i="34"/>
  <c r="U839" i="34"/>
  <c r="Y839" i="34"/>
  <c r="Z839" i="34"/>
  <c r="N840" i="34"/>
  <c r="S840" i="34"/>
  <c r="T840" i="34"/>
  <c r="U840" i="34"/>
  <c r="Y840" i="34"/>
  <c r="Z840" i="34"/>
  <c r="N869" i="34"/>
  <c r="S869" i="34"/>
  <c r="T869" i="34"/>
  <c r="U869" i="34"/>
  <c r="Y869" i="34"/>
  <c r="Z869" i="34"/>
  <c r="N870" i="34"/>
  <c r="S870" i="34"/>
  <c r="T870" i="34"/>
  <c r="U870" i="34"/>
  <c r="Y870" i="34"/>
  <c r="Z870" i="34"/>
  <c r="N877" i="34"/>
  <c r="S877" i="34"/>
  <c r="T877" i="34"/>
  <c r="U877" i="34"/>
  <c r="Y877" i="34"/>
  <c r="Z877" i="34"/>
  <c r="N878" i="34"/>
  <c r="S878" i="34"/>
  <c r="T878" i="34"/>
  <c r="U878" i="34"/>
  <c r="Y878" i="34"/>
  <c r="Z878" i="34"/>
  <c r="N879" i="34"/>
  <c r="S879" i="34"/>
  <c r="T879" i="34"/>
  <c r="U879" i="34"/>
  <c r="Y879" i="34"/>
  <c r="Z879" i="34"/>
  <c r="N880" i="34"/>
  <c r="S880" i="34"/>
  <c r="T880" i="34"/>
  <c r="U880" i="34"/>
  <c r="Y880" i="34"/>
  <c r="Z880" i="34"/>
  <c r="N889" i="34"/>
  <c r="S889" i="34"/>
  <c r="T889" i="34"/>
  <c r="U889" i="34"/>
  <c r="Y889" i="34"/>
  <c r="Z889" i="34"/>
  <c r="N890" i="34"/>
  <c r="S890" i="34"/>
  <c r="T890" i="34"/>
  <c r="U890" i="34"/>
  <c r="Y890" i="34"/>
  <c r="Z890" i="34"/>
  <c r="N896" i="34"/>
  <c r="S896" i="34"/>
  <c r="T896" i="34"/>
  <c r="U896" i="34"/>
  <c r="Y896" i="34"/>
  <c r="Z896" i="34"/>
  <c r="N897" i="34"/>
  <c r="S897" i="34"/>
  <c r="T897" i="34"/>
  <c r="U897" i="34"/>
  <c r="Y897" i="34"/>
  <c r="Z897" i="34"/>
  <c r="N898" i="34"/>
  <c r="S898" i="34"/>
  <c r="T898" i="34"/>
  <c r="U898" i="34"/>
  <c r="Y898" i="34"/>
  <c r="Z898" i="34"/>
  <c r="N899" i="34"/>
  <c r="S899" i="34"/>
  <c r="T899" i="34"/>
  <c r="U899" i="34"/>
  <c r="Y899" i="34"/>
  <c r="Z899" i="34"/>
  <c r="N940" i="34"/>
  <c r="S940" i="34"/>
  <c r="T940" i="34"/>
  <c r="U940" i="34"/>
  <c r="Y940" i="34"/>
  <c r="Z940" i="34"/>
  <c r="N941" i="34"/>
  <c r="S941" i="34"/>
  <c r="T941" i="34"/>
  <c r="U941" i="34"/>
  <c r="Y941" i="34"/>
  <c r="Z941" i="34"/>
  <c r="N974" i="34"/>
  <c r="S974" i="34"/>
  <c r="T974" i="34"/>
  <c r="U974" i="34"/>
  <c r="Y974" i="34"/>
  <c r="Z974" i="34"/>
  <c r="N975" i="34"/>
  <c r="S975" i="34"/>
  <c r="T975" i="34"/>
  <c r="U975" i="34"/>
  <c r="Y975" i="34"/>
  <c r="Z975" i="34"/>
  <c r="N976" i="34"/>
  <c r="S976" i="34"/>
  <c r="T976" i="34"/>
  <c r="U976" i="34"/>
  <c r="Y976" i="34"/>
  <c r="Z976" i="34"/>
  <c r="N977" i="34"/>
  <c r="S977" i="34"/>
  <c r="T977" i="34"/>
  <c r="U977" i="34"/>
  <c r="Y977" i="34"/>
  <c r="Z977" i="34"/>
  <c r="N327" i="34"/>
  <c r="S327" i="34"/>
  <c r="T327" i="34"/>
  <c r="U327" i="34"/>
  <c r="Y327" i="34"/>
  <c r="Z327" i="34"/>
  <c r="N328" i="34"/>
  <c r="S328" i="34"/>
  <c r="T328" i="34"/>
  <c r="U328" i="34"/>
  <c r="Y328" i="34"/>
  <c r="Z328" i="34"/>
  <c r="N329" i="34"/>
  <c r="S329" i="34"/>
  <c r="T329" i="34"/>
  <c r="U329" i="34"/>
  <c r="Y329" i="34"/>
  <c r="Z329" i="34"/>
  <c r="N330" i="34"/>
  <c r="S330" i="34"/>
  <c r="T330" i="34"/>
  <c r="U330" i="34"/>
  <c r="Y330" i="34"/>
  <c r="Z330" i="34"/>
  <c r="N331" i="34"/>
  <c r="S331" i="34"/>
  <c r="T331" i="34"/>
  <c r="U331" i="34"/>
  <c r="Y331" i="34"/>
  <c r="Z331" i="34"/>
  <c r="N332" i="34"/>
  <c r="S332" i="34"/>
  <c r="T332" i="34"/>
  <c r="U332" i="34"/>
  <c r="Y332" i="34"/>
  <c r="Z332" i="34"/>
  <c r="N333" i="34"/>
  <c r="S333" i="34"/>
  <c r="T333" i="34"/>
  <c r="U333" i="34"/>
  <c r="Y333" i="34"/>
  <c r="Z333" i="34"/>
  <c r="N334" i="34"/>
  <c r="S334" i="34"/>
  <c r="T334" i="34"/>
  <c r="U334" i="34"/>
  <c r="Y334" i="34"/>
  <c r="Z334" i="34"/>
  <c r="N335" i="34"/>
  <c r="S335" i="34"/>
  <c r="T335" i="34"/>
  <c r="U335" i="34"/>
  <c r="Y335" i="34"/>
  <c r="Z335" i="34"/>
  <c r="N336" i="34"/>
  <c r="S336" i="34"/>
  <c r="T336" i="34"/>
  <c r="U336" i="34"/>
  <c r="Y336" i="34"/>
  <c r="Z336" i="34"/>
  <c r="N337" i="34"/>
  <c r="S337" i="34"/>
  <c r="T337" i="34"/>
  <c r="U337" i="34"/>
  <c r="Y337" i="34"/>
  <c r="Z337" i="34"/>
  <c r="N338" i="34"/>
  <c r="S338" i="34"/>
  <c r="T338" i="34"/>
  <c r="U338" i="34"/>
  <c r="Y338" i="34"/>
  <c r="Z338" i="34"/>
  <c r="N339" i="34"/>
  <c r="S339" i="34"/>
  <c r="T339" i="34"/>
  <c r="U339" i="34"/>
  <c r="Y339" i="34"/>
  <c r="Z339" i="34"/>
  <c r="N340" i="34"/>
  <c r="S340" i="34"/>
  <c r="T340" i="34"/>
  <c r="U340" i="34"/>
  <c r="Y340" i="34"/>
  <c r="Z340" i="34"/>
  <c r="N341" i="34"/>
  <c r="S341" i="34"/>
  <c r="T341" i="34"/>
  <c r="U341" i="34"/>
  <c r="Y341" i="34"/>
  <c r="Z341" i="34"/>
  <c r="N342" i="34"/>
  <c r="S342" i="34"/>
  <c r="T342" i="34"/>
  <c r="U342" i="34"/>
  <c r="Y342" i="34"/>
  <c r="Z342" i="34"/>
  <c r="N343" i="34"/>
  <c r="S343" i="34"/>
  <c r="T343" i="34"/>
  <c r="U343" i="34"/>
  <c r="Y343" i="34"/>
  <c r="Z343" i="34"/>
  <c r="N344" i="34"/>
  <c r="S344" i="34"/>
  <c r="T344" i="34"/>
  <c r="U344" i="34"/>
  <c r="Y344" i="34"/>
  <c r="Z344" i="34"/>
  <c r="N345" i="34"/>
  <c r="S345" i="34"/>
  <c r="T345" i="34"/>
  <c r="U345" i="34"/>
  <c r="Y345" i="34"/>
  <c r="Z345" i="34"/>
  <c r="N346" i="34"/>
  <c r="S346" i="34"/>
  <c r="T346" i="34"/>
  <c r="U346" i="34"/>
  <c r="Y346" i="34"/>
  <c r="Z346" i="34"/>
  <c r="N347" i="34"/>
  <c r="S347" i="34"/>
  <c r="T347" i="34"/>
  <c r="U347" i="34"/>
  <c r="Y347" i="34"/>
  <c r="Z347" i="34"/>
  <c r="N348" i="34"/>
  <c r="S348" i="34"/>
  <c r="T348" i="34"/>
  <c r="U348" i="34"/>
  <c r="Y348" i="34"/>
  <c r="Z348" i="34"/>
  <c r="N349" i="34"/>
  <c r="S349" i="34"/>
  <c r="T349" i="34"/>
  <c r="U349" i="34"/>
  <c r="Y349" i="34"/>
  <c r="Z349" i="34"/>
  <c r="N350" i="34"/>
  <c r="S350" i="34"/>
  <c r="T350" i="34"/>
  <c r="U350" i="34"/>
  <c r="Y350" i="34"/>
  <c r="Z350" i="34"/>
  <c r="N351" i="34"/>
  <c r="S351" i="34"/>
  <c r="T351" i="34"/>
  <c r="U351" i="34"/>
  <c r="Y351" i="34"/>
  <c r="Z351" i="34"/>
  <c r="N352" i="34"/>
  <c r="S352" i="34"/>
  <c r="T352" i="34"/>
  <c r="U352" i="34"/>
  <c r="Y352" i="34"/>
  <c r="Z352" i="34"/>
  <c r="N353" i="34"/>
  <c r="S353" i="34"/>
  <c r="T353" i="34"/>
  <c r="U353" i="34"/>
  <c r="Y353" i="34"/>
  <c r="Z353" i="34"/>
  <c r="N354" i="34"/>
  <c r="S354" i="34"/>
  <c r="T354" i="34"/>
  <c r="U354" i="34"/>
  <c r="Y354" i="34"/>
  <c r="Z354" i="34"/>
  <c r="N355" i="34"/>
  <c r="S355" i="34"/>
  <c r="T355" i="34"/>
  <c r="U355" i="34"/>
  <c r="Y355" i="34"/>
  <c r="Z355" i="34"/>
  <c r="N356" i="34"/>
  <c r="S356" i="34"/>
  <c r="T356" i="34"/>
  <c r="U356" i="34"/>
  <c r="Y356" i="34"/>
  <c r="Z356" i="34"/>
  <c r="N357" i="34"/>
  <c r="S357" i="34"/>
  <c r="T357" i="34"/>
  <c r="U357" i="34"/>
  <c r="Y357" i="34"/>
  <c r="Z357" i="34"/>
  <c r="N358" i="34"/>
  <c r="S358" i="34"/>
  <c r="T358" i="34"/>
  <c r="U358" i="34"/>
  <c r="Y358" i="34"/>
  <c r="Z358" i="34"/>
  <c r="N359" i="34"/>
  <c r="S359" i="34"/>
  <c r="T359" i="34"/>
  <c r="U359" i="34"/>
  <c r="Y359" i="34"/>
  <c r="Z359" i="34"/>
  <c r="N360" i="34"/>
  <c r="S360" i="34"/>
  <c r="T360" i="34"/>
  <c r="U360" i="34"/>
  <c r="Y360" i="34"/>
  <c r="Z360" i="34"/>
  <c r="N361" i="34"/>
  <c r="S361" i="34"/>
  <c r="T361" i="34"/>
  <c r="U361" i="34"/>
  <c r="Y361" i="34"/>
  <c r="Z361" i="34"/>
  <c r="N362" i="34"/>
  <c r="S362" i="34"/>
  <c r="T362" i="34"/>
  <c r="U362" i="34"/>
  <c r="Y362" i="34"/>
  <c r="Z362" i="34"/>
  <c r="N363" i="34"/>
  <c r="S363" i="34"/>
  <c r="T363" i="34"/>
  <c r="U363" i="34"/>
  <c r="Y363" i="34"/>
  <c r="Z363" i="34"/>
  <c r="N364" i="34"/>
  <c r="S364" i="34"/>
  <c r="T364" i="34"/>
  <c r="U364" i="34"/>
  <c r="Y364" i="34"/>
  <c r="Z364" i="34"/>
  <c r="N365" i="34"/>
  <c r="S365" i="34"/>
  <c r="T365" i="34"/>
  <c r="U365" i="34"/>
  <c r="Y365" i="34"/>
  <c r="Z365" i="34"/>
  <c r="N366" i="34"/>
  <c r="S366" i="34"/>
  <c r="T366" i="34"/>
  <c r="U366" i="34"/>
  <c r="Y366" i="34"/>
  <c r="Z366" i="34"/>
  <c r="N367" i="34"/>
  <c r="S367" i="34"/>
  <c r="T367" i="34"/>
  <c r="U367" i="34"/>
  <c r="Y367" i="34"/>
  <c r="Z367" i="34"/>
  <c r="N368" i="34"/>
  <c r="S368" i="34"/>
  <c r="T368" i="34"/>
  <c r="U368" i="34"/>
  <c r="Y368" i="34"/>
  <c r="Z368" i="34"/>
  <c r="N369" i="34"/>
  <c r="S369" i="34"/>
  <c r="T369" i="34"/>
  <c r="U369" i="34"/>
  <c r="Y369" i="34"/>
  <c r="Z369" i="34"/>
  <c r="N370" i="34"/>
  <c r="S370" i="34"/>
  <c r="T370" i="34"/>
  <c r="U370" i="34"/>
  <c r="Y370" i="34"/>
  <c r="Z370" i="34"/>
  <c r="N371" i="34"/>
  <c r="S371" i="34"/>
  <c r="T371" i="34"/>
  <c r="U371" i="34"/>
  <c r="Y371" i="34"/>
  <c r="Z371" i="34"/>
  <c r="N372" i="34"/>
  <c r="S372" i="34"/>
  <c r="T372" i="34"/>
  <c r="U372" i="34"/>
  <c r="Y372" i="34"/>
  <c r="Z372" i="34"/>
  <c r="N373" i="34"/>
  <c r="S373" i="34"/>
  <c r="T373" i="34"/>
  <c r="U373" i="34"/>
  <c r="Y373" i="34"/>
  <c r="Z373" i="34"/>
  <c r="N374" i="34"/>
  <c r="S374" i="34"/>
  <c r="T374" i="34"/>
  <c r="U374" i="34"/>
  <c r="Y374" i="34"/>
  <c r="Z374" i="34"/>
  <c r="N375" i="34"/>
  <c r="S375" i="34"/>
  <c r="T375" i="34"/>
  <c r="U375" i="34"/>
  <c r="Y375" i="34"/>
  <c r="Z375" i="34"/>
  <c r="N376" i="34"/>
  <c r="S376" i="34"/>
  <c r="T376" i="34"/>
  <c r="U376" i="34"/>
  <c r="Y376" i="34"/>
  <c r="Z376" i="34"/>
  <c r="N377" i="34"/>
  <c r="S377" i="34"/>
  <c r="T377" i="34"/>
  <c r="U377" i="34"/>
  <c r="Y377" i="34"/>
  <c r="Z377" i="34"/>
  <c r="N378" i="34"/>
  <c r="S378" i="34"/>
  <c r="T378" i="34"/>
  <c r="U378" i="34"/>
  <c r="Y378" i="34"/>
  <c r="Z378" i="34"/>
  <c r="N379" i="34"/>
  <c r="S379" i="34"/>
  <c r="T379" i="34"/>
  <c r="U379" i="34"/>
  <c r="Y379" i="34"/>
  <c r="Z379" i="34"/>
  <c r="N380" i="34"/>
  <c r="S380" i="34"/>
  <c r="T380" i="34"/>
  <c r="U380" i="34"/>
  <c r="Y380" i="34"/>
  <c r="Z380" i="34"/>
  <c r="N381" i="34"/>
  <c r="S381" i="34"/>
  <c r="T381" i="34"/>
  <c r="U381" i="34"/>
  <c r="Y381" i="34"/>
  <c r="Z381" i="34"/>
  <c r="N382" i="34"/>
  <c r="S382" i="34"/>
  <c r="T382" i="34"/>
  <c r="U382" i="34"/>
  <c r="Y382" i="34"/>
  <c r="Z382" i="34"/>
  <c r="N383" i="34"/>
  <c r="S383" i="34"/>
  <c r="T383" i="34"/>
  <c r="U383" i="34"/>
  <c r="Y383" i="34"/>
  <c r="Z383" i="34"/>
  <c r="N384" i="34"/>
  <c r="S384" i="34"/>
  <c r="T384" i="34"/>
  <c r="U384" i="34"/>
  <c r="Y384" i="34"/>
  <c r="Z384" i="34"/>
  <c r="N385" i="34"/>
  <c r="S385" i="34"/>
  <c r="T385" i="34"/>
  <c r="U385" i="34"/>
  <c r="Y385" i="34"/>
  <c r="Z385" i="34"/>
  <c r="N386" i="34"/>
  <c r="S386" i="34"/>
  <c r="T386" i="34"/>
  <c r="U386" i="34"/>
  <c r="Y386" i="34"/>
  <c r="Z386" i="34"/>
  <c r="N387" i="34"/>
  <c r="S387" i="34"/>
  <c r="T387" i="34"/>
  <c r="U387" i="34"/>
  <c r="Y387" i="34"/>
  <c r="Z387" i="34"/>
  <c r="N388" i="34"/>
  <c r="S388" i="34"/>
  <c r="T388" i="34"/>
  <c r="U388" i="34"/>
  <c r="Y388" i="34"/>
  <c r="Z388" i="34"/>
  <c r="N389" i="34"/>
  <c r="S389" i="34"/>
  <c r="T389" i="34"/>
  <c r="U389" i="34"/>
  <c r="Y389" i="34"/>
  <c r="Z389" i="34"/>
  <c r="N390" i="34"/>
  <c r="S390" i="34"/>
  <c r="T390" i="34"/>
  <c r="U390" i="34"/>
  <c r="Y390" i="34"/>
  <c r="Z390" i="34"/>
  <c r="N391" i="34"/>
  <c r="S391" i="34"/>
  <c r="T391" i="34"/>
  <c r="U391" i="34"/>
  <c r="Y391" i="34"/>
  <c r="Z391" i="34"/>
  <c r="N392" i="34"/>
  <c r="S392" i="34"/>
  <c r="T392" i="34"/>
  <c r="U392" i="34"/>
  <c r="Y392" i="34"/>
  <c r="Z392" i="34"/>
  <c r="N393" i="34"/>
  <c r="S393" i="34"/>
  <c r="T393" i="34"/>
  <c r="U393" i="34"/>
  <c r="Y393" i="34"/>
  <c r="Z393" i="34"/>
  <c r="N394" i="34"/>
  <c r="S394" i="34"/>
  <c r="T394" i="34"/>
  <c r="U394" i="34"/>
  <c r="Y394" i="34"/>
  <c r="Z394" i="34"/>
  <c r="N395" i="34"/>
  <c r="S395" i="34"/>
  <c r="T395" i="34"/>
  <c r="U395" i="34"/>
  <c r="Y395" i="34"/>
  <c r="Z395" i="34"/>
  <c r="N396" i="34"/>
  <c r="S396" i="34"/>
  <c r="T396" i="34"/>
  <c r="U396" i="34"/>
  <c r="Y396" i="34"/>
  <c r="Z396" i="34"/>
  <c r="N397" i="34"/>
  <c r="S397" i="34"/>
  <c r="T397" i="34"/>
  <c r="U397" i="34"/>
  <c r="Y397" i="34"/>
  <c r="Z397" i="34"/>
  <c r="N398" i="34"/>
  <c r="S398" i="34"/>
  <c r="T398" i="34"/>
  <c r="U398" i="34"/>
  <c r="Y398" i="34"/>
  <c r="Z398" i="34"/>
  <c r="N399" i="34"/>
  <c r="S399" i="34"/>
  <c r="T399" i="34"/>
  <c r="U399" i="34"/>
  <c r="Y399" i="34"/>
  <c r="Z399" i="34"/>
  <c r="N400" i="34"/>
  <c r="S400" i="34"/>
  <c r="T400" i="34"/>
  <c r="U400" i="34"/>
  <c r="Y400" i="34"/>
  <c r="Z400" i="34"/>
  <c r="N401" i="34"/>
  <c r="S401" i="34"/>
  <c r="T401" i="34"/>
  <c r="U401" i="34"/>
  <c r="Y401" i="34"/>
  <c r="Z401" i="34"/>
  <c r="N402" i="34"/>
  <c r="S402" i="34"/>
  <c r="T402" i="34"/>
  <c r="U402" i="34"/>
  <c r="Y402" i="34"/>
  <c r="Z402" i="34"/>
  <c r="N403" i="34"/>
  <c r="S403" i="34"/>
  <c r="T403" i="34"/>
  <c r="U403" i="34"/>
  <c r="Y403" i="34"/>
  <c r="Z403" i="34"/>
  <c r="N404" i="34"/>
  <c r="S404" i="34"/>
  <c r="T404" i="34"/>
  <c r="U404" i="34"/>
  <c r="Y404" i="34"/>
  <c r="Z404" i="34"/>
  <c r="N405" i="34"/>
  <c r="S405" i="34"/>
  <c r="T405" i="34"/>
  <c r="U405" i="34"/>
  <c r="Y405" i="34"/>
  <c r="Z405" i="34"/>
  <c r="N406" i="34"/>
  <c r="S406" i="34"/>
  <c r="T406" i="34"/>
  <c r="U406" i="34"/>
  <c r="Y406" i="34"/>
  <c r="Z406" i="34"/>
  <c r="N407" i="34"/>
  <c r="S407" i="34"/>
  <c r="T407" i="34"/>
  <c r="U407" i="34"/>
  <c r="Y407" i="34"/>
  <c r="Z407" i="34"/>
  <c r="N408" i="34"/>
  <c r="S408" i="34"/>
  <c r="T408" i="34"/>
  <c r="U408" i="34"/>
  <c r="Y408" i="34"/>
  <c r="Z408" i="34"/>
  <c r="N409" i="34"/>
  <c r="S409" i="34"/>
  <c r="T409" i="34"/>
  <c r="U409" i="34"/>
  <c r="Y409" i="34"/>
  <c r="Z409" i="34"/>
  <c r="N410" i="34"/>
  <c r="S410" i="34"/>
  <c r="T410" i="34"/>
  <c r="U410" i="34"/>
  <c r="Y410" i="34"/>
  <c r="Z410" i="34"/>
  <c r="N411" i="34"/>
  <c r="S411" i="34"/>
  <c r="T411" i="34"/>
  <c r="U411" i="34"/>
  <c r="Y411" i="34"/>
  <c r="Z411" i="34"/>
  <c r="N412" i="34"/>
  <c r="S412" i="34"/>
  <c r="T412" i="34"/>
  <c r="U412" i="34"/>
  <c r="Y412" i="34"/>
  <c r="Z412" i="34"/>
  <c r="N413" i="34"/>
  <c r="S413" i="34"/>
  <c r="T413" i="34"/>
  <c r="U413" i="34"/>
  <c r="Y413" i="34"/>
  <c r="Z413" i="34"/>
  <c r="N414" i="34"/>
  <c r="S414" i="34"/>
  <c r="T414" i="34"/>
  <c r="U414" i="34"/>
  <c r="Y414" i="34"/>
  <c r="Z414" i="34"/>
  <c r="N415" i="34"/>
  <c r="S415" i="34"/>
  <c r="T415" i="34"/>
  <c r="U415" i="34"/>
  <c r="Y415" i="34"/>
  <c r="Z415" i="34"/>
  <c r="N416" i="34"/>
  <c r="S416" i="34"/>
  <c r="T416" i="34"/>
  <c r="U416" i="34"/>
  <c r="Y416" i="34"/>
  <c r="Z416" i="34"/>
  <c r="N417" i="34"/>
  <c r="S417" i="34"/>
  <c r="T417" i="34"/>
  <c r="U417" i="34"/>
  <c r="Y417" i="34"/>
  <c r="Z417" i="34"/>
  <c r="N418" i="34"/>
  <c r="S418" i="34"/>
  <c r="T418" i="34"/>
  <c r="U418" i="34"/>
  <c r="Y418" i="34"/>
  <c r="Z418" i="34"/>
  <c r="N419" i="34"/>
  <c r="S419" i="34"/>
  <c r="T419" i="34"/>
  <c r="U419" i="34"/>
  <c r="Y419" i="34"/>
  <c r="Z419" i="34"/>
  <c r="N420" i="34"/>
  <c r="S420" i="34"/>
  <c r="T420" i="34"/>
  <c r="U420" i="34"/>
  <c r="Y420" i="34"/>
  <c r="Z420" i="34"/>
  <c r="N421" i="34"/>
  <c r="S421" i="34"/>
  <c r="T421" i="34"/>
  <c r="U421" i="34"/>
  <c r="Y421" i="34"/>
  <c r="Z421" i="34"/>
  <c r="N422" i="34"/>
  <c r="S422" i="34"/>
  <c r="T422" i="34"/>
  <c r="U422" i="34"/>
  <c r="Y422" i="34"/>
  <c r="Z422" i="34"/>
  <c r="N423" i="34"/>
  <c r="S423" i="34"/>
  <c r="T423" i="34"/>
  <c r="U423" i="34"/>
  <c r="Y423" i="34"/>
  <c r="Z423" i="34"/>
  <c r="N424" i="34"/>
  <c r="S424" i="34"/>
  <c r="T424" i="34"/>
  <c r="U424" i="34"/>
  <c r="Y424" i="34"/>
  <c r="Z424" i="34"/>
  <c r="N425" i="34"/>
  <c r="S425" i="34"/>
  <c r="T425" i="34"/>
  <c r="U425" i="34"/>
  <c r="Y425" i="34"/>
  <c r="Z425" i="34"/>
  <c r="N426" i="34"/>
  <c r="S426" i="34"/>
  <c r="T426" i="34"/>
  <c r="U426" i="34"/>
  <c r="Y426" i="34"/>
  <c r="Z426" i="34"/>
  <c r="N427" i="34"/>
  <c r="S427" i="34"/>
  <c r="T427" i="34"/>
  <c r="U427" i="34"/>
  <c r="Y427" i="34"/>
  <c r="Z427" i="34"/>
  <c r="N428" i="34"/>
  <c r="S428" i="34"/>
  <c r="T428" i="34"/>
  <c r="U428" i="34"/>
  <c r="Y428" i="34"/>
  <c r="Z428" i="34"/>
  <c r="N429" i="34"/>
  <c r="S429" i="34"/>
  <c r="T429" i="34"/>
  <c r="U429" i="34"/>
  <c r="Y429" i="34"/>
  <c r="Z429" i="34"/>
  <c r="N430" i="34"/>
  <c r="S430" i="34"/>
  <c r="T430" i="34"/>
  <c r="U430" i="34"/>
  <c r="Y430" i="34"/>
  <c r="Z430" i="34"/>
  <c r="N431" i="34"/>
  <c r="S431" i="34"/>
  <c r="T431" i="34"/>
  <c r="U431" i="34"/>
  <c r="Y431" i="34"/>
  <c r="Z431" i="34"/>
  <c r="N432" i="34"/>
  <c r="S432" i="34"/>
  <c r="T432" i="34"/>
  <c r="U432" i="34"/>
  <c r="Y432" i="34"/>
  <c r="Z432" i="34"/>
  <c r="N433" i="34"/>
  <c r="S433" i="34"/>
  <c r="T433" i="34"/>
  <c r="U433" i="34"/>
  <c r="Y433" i="34"/>
  <c r="Z433" i="34"/>
  <c r="N434" i="34"/>
  <c r="S434" i="34"/>
  <c r="T434" i="34"/>
  <c r="U434" i="34"/>
  <c r="Y434" i="34"/>
  <c r="Z434" i="34"/>
  <c r="N445" i="34"/>
  <c r="S445" i="34"/>
  <c r="T445" i="34"/>
  <c r="U445" i="34"/>
  <c r="Y445" i="34"/>
  <c r="Z445" i="34"/>
  <c r="N446" i="34"/>
  <c r="S446" i="34"/>
  <c r="T446" i="34"/>
  <c r="U446" i="34"/>
  <c r="Y446" i="34"/>
  <c r="Z446" i="34"/>
  <c r="N447" i="34"/>
  <c r="S447" i="34"/>
  <c r="T447" i="34"/>
  <c r="U447" i="34"/>
  <c r="Y447" i="34"/>
  <c r="Z447" i="34"/>
  <c r="N448" i="34"/>
  <c r="S448" i="34"/>
  <c r="T448" i="34"/>
  <c r="U448" i="34"/>
  <c r="Y448" i="34"/>
  <c r="Z448" i="34"/>
  <c r="N449" i="34"/>
  <c r="S449" i="34"/>
  <c r="T449" i="34"/>
  <c r="U449" i="34"/>
  <c r="Y449" i="34"/>
  <c r="Z449" i="34"/>
  <c r="N450" i="34"/>
  <c r="S450" i="34"/>
  <c r="T450" i="34"/>
  <c r="U450" i="34"/>
  <c r="Y450" i="34"/>
  <c r="Z450" i="34"/>
  <c r="N451" i="34"/>
  <c r="S451" i="34"/>
  <c r="T451" i="34"/>
  <c r="U451" i="34"/>
  <c r="Y451" i="34"/>
  <c r="Z451" i="34"/>
  <c r="N452" i="34"/>
  <c r="S452" i="34"/>
  <c r="T452" i="34"/>
  <c r="U452" i="34"/>
  <c r="Y452" i="34"/>
  <c r="Z452" i="34"/>
  <c r="N453" i="34"/>
  <c r="S453" i="34"/>
  <c r="T453" i="34"/>
  <c r="U453" i="34"/>
  <c r="Y453" i="34"/>
  <c r="Z453" i="34"/>
  <c r="N454" i="34"/>
  <c r="S454" i="34"/>
  <c r="T454" i="34"/>
  <c r="U454" i="34"/>
  <c r="Y454" i="34"/>
  <c r="Z454" i="34"/>
  <c r="N455" i="34"/>
  <c r="S455" i="34"/>
  <c r="T455" i="34"/>
  <c r="U455" i="34"/>
  <c r="Y455" i="34"/>
  <c r="Z455" i="34"/>
  <c r="N456" i="34"/>
  <c r="S456" i="34"/>
  <c r="T456" i="34"/>
  <c r="U456" i="34"/>
  <c r="Y456" i="34"/>
  <c r="Z456" i="34"/>
  <c r="N457" i="34"/>
  <c r="S457" i="34"/>
  <c r="T457" i="34"/>
  <c r="U457" i="34"/>
  <c r="Y457" i="34"/>
  <c r="Z457" i="34"/>
  <c r="N458" i="34"/>
  <c r="S458" i="34"/>
  <c r="T458" i="34"/>
  <c r="U458" i="34"/>
  <c r="Y458" i="34"/>
  <c r="Z458" i="34"/>
  <c r="N459" i="34"/>
  <c r="S459" i="34"/>
  <c r="T459" i="34"/>
  <c r="U459" i="34"/>
  <c r="Y459" i="34"/>
  <c r="Z459" i="34"/>
  <c r="N460" i="34"/>
  <c r="S460" i="34"/>
  <c r="T460" i="34"/>
  <c r="U460" i="34"/>
  <c r="Y460" i="34"/>
  <c r="Z460" i="34"/>
  <c r="N461" i="34"/>
  <c r="S461" i="34"/>
  <c r="T461" i="34"/>
  <c r="U461" i="34"/>
  <c r="Y461" i="34"/>
  <c r="Z461" i="34"/>
  <c r="N462" i="34"/>
  <c r="S462" i="34"/>
  <c r="T462" i="34"/>
  <c r="U462" i="34"/>
  <c r="Y462" i="34"/>
  <c r="Z462" i="34"/>
  <c r="N463" i="34"/>
  <c r="S463" i="34"/>
  <c r="T463" i="34"/>
  <c r="U463" i="34"/>
  <c r="Y463" i="34"/>
  <c r="Z463" i="34"/>
  <c r="N464" i="34"/>
  <c r="S464" i="34"/>
  <c r="T464" i="34"/>
  <c r="U464" i="34"/>
  <c r="Y464" i="34"/>
  <c r="Z464" i="34"/>
  <c r="N465" i="34"/>
  <c r="S465" i="34"/>
  <c r="T465" i="34"/>
  <c r="U465" i="34"/>
  <c r="Y465" i="34"/>
  <c r="Z465" i="34"/>
  <c r="N466" i="34"/>
  <c r="S466" i="34"/>
  <c r="T466" i="34"/>
  <c r="U466" i="34"/>
  <c r="Y466" i="34"/>
  <c r="Z466" i="34"/>
  <c r="N467" i="34"/>
  <c r="S467" i="34"/>
  <c r="T467" i="34"/>
  <c r="U467" i="34"/>
  <c r="Y467" i="34"/>
  <c r="Z467" i="34"/>
  <c r="N468" i="34"/>
  <c r="S468" i="34"/>
  <c r="T468" i="34"/>
  <c r="U468" i="34"/>
  <c r="Y468" i="34"/>
  <c r="Z468" i="34"/>
  <c r="N469" i="34"/>
  <c r="S469" i="34"/>
  <c r="T469" i="34"/>
  <c r="U469" i="34"/>
  <c r="Y469" i="34"/>
  <c r="Z469" i="34"/>
  <c r="N470" i="34"/>
  <c r="S470" i="34"/>
  <c r="T470" i="34"/>
  <c r="U470" i="34"/>
  <c r="Y470" i="34"/>
  <c r="Z470" i="34"/>
  <c r="N471" i="34"/>
  <c r="S471" i="34"/>
  <c r="T471" i="34"/>
  <c r="U471" i="34"/>
  <c r="Y471" i="34"/>
  <c r="Z471" i="34"/>
  <c r="N472" i="34"/>
  <c r="S472" i="34"/>
  <c r="T472" i="34"/>
  <c r="U472" i="34"/>
  <c r="Y472" i="34"/>
  <c r="Z472" i="34"/>
  <c r="N473" i="34"/>
  <c r="S473" i="34"/>
  <c r="T473" i="34"/>
  <c r="U473" i="34"/>
  <c r="Y473" i="34"/>
  <c r="Z473" i="34"/>
  <c r="N474" i="34"/>
  <c r="S474" i="34"/>
  <c r="T474" i="34"/>
  <c r="U474" i="34"/>
  <c r="Y474" i="34"/>
  <c r="Z474" i="34"/>
  <c r="N475" i="34"/>
  <c r="S475" i="34"/>
  <c r="T475" i="34"/>
  <c r="U475" i="34"/>
  <c r="Y475" i="34"/>
  <c r="Z475" i="34"/>
  <c r="N476" i="34"/>
  <c r="S476" i="34"/>
  <c r="T476" i="34"/>
  <c r="U476" i="34"/>
  <c r="Y476" i="34"/>
  <c r="Z476" i="34"/>
  <c r="N477" i="34"/>
  <c r="S477" i="34"/>
  <c r="T477" i="34"/>
  <c r="U477" i="34"/>
  <c r="Y477" i="34"/>
  <c r="Z477" i="34"/>
  <c r="N478" i="34"/>
  <c r="S478" i="34"/>
  <c r="T478" i="34"/>
  <c r="U478" i="34"/>
  <c r="Y478" i="34"/>
  <c r="Z478" i="34"/>
  <c r="N479" i="34"/>
  <c r="S479" i="34"/>
  <c r="T479" i="34"/>
  <c r="U479" i="34"/>
  <c r="Y479" i="34"/>
  <c r="Z479" i="34"/>
  <c r="N480" i="34"/>
  <c r="S480" i="34"/>
  <c r="T480" i="34"/>
  <c r="U480" i="34"/>
  <c r="Y480" i="34"/>
  <c r="Z480" i="34"/>
  <c r="N481" i="34"/>
  <c r="S481" i="34"/>
  <c r="T481" i="34"/>
  <c r="U481" i="34"/>
  <c r="Y481" i="34"/>
  <c r="Z481" i="34"/>
  <c r="N482" i="34"/>
  <c r="S482" i="34"/>
  <c r="T482" i="34"/>
  <c r="U482" i="34"/>
  <c r="Y482" i="34"/>
  <c r="Z482" i="34"/>
  <c r="N483" i="34"/>
  <c r="S483" i="34"/>
  <c r="T483" i="34"/>
  <c r="U483" i="34"/>
  <c r="Y483" i="34"/>
  <c r="Z483" i="34"/>
  <c r="N484" i="34"/>
  <c r="S484" i="34"/>
  <c r="T484" i="34"/>
  <c r="U484" i="34"/>
  <c r="Y484" i="34"/>
  <c r="Z484" i="34"/>
  <c r="N485" i="34"/>
  <c r="S485" i="34"/>
  <c r="T485" i="34"/>
  <c r="U485" i="34"/>
  <c r="Y485" i="34"/>
  <c r="Z485" i="34"/>
  <c r="N486" i="34"/>
  <c r="S486" i="34"/>
  <c r="T486" i="34"/>
  <c r="U486" i="34"/>
  <c r="Y486" i="34"/>
  <c r="Z486" i="34"/>
  <c r="N487" i="34"/>
  <c r="S487" i="34"/>
  <c r="T487" i="34"/>
  <c r="U487" i="34"/>
  <c r="Y487" i="34"/>
  <c r="Z487" i="34"/>
  <c r="N491" i="34"/>
  <c r="S491" i="34"/>
  <c r="T491" i="34"/>
  <c r="U491" i="34"/>
  <c r="Y491" i="34"/>
  <c r="Z491" i="34"/>
  <c r="N492" i="34"/>
  <c r="S492" i="34"/>
  <c r="T492" i="34"/>
  <c r="U492" i="34"/>
  <c r="Y492" i="34"/>
  <c r="Z492" i="34"/>
  <c r="N493" i="34"/>
  <c r="S493" i="34"/>
  <c r="T493" i="34"/>
  <c r="U493" i="34"/>
  <c r="Y493" i="34"/>
  <c r="Z493" i="34"/>
  <c r="N494" i="34"/>
  <c r="S494" i="34"/>
  <c r="T494" i="34"/>
  <c r="U494" i="34"/>
  <c r="Y494" i="34"/>
  <c r="Z494" i="34"/>
  <c r="N495" i="34"/>
  <c r="S495" i="34"/>
  <c r="T495" i="34"/>
  <c r="U495" i="34"/>
  <c r="Y495" i="34"/>
  <c r="Z495" i="34"/>
  <c r="N496" i="34"/>
  <c r="S496" i="34"/>
  <c r="T496" i="34"/>
  <c r="U496" i="34"/>
  <c r="Y496" i="34"/>
  <c r="Z496" i="34"/>
  <c r="N497" i="34"/>
  <c r="S497" i="34"/>
  <c r="T497" i="34"/>
  <c r="U497" i="34"/>
  <c r="Y497" i="34"/>
  <c r="Z497" i="34"/>
  <c r="N498" i="34"/>
  <c r="S498" i="34"/>
  <c r="T498" i="34"/>
  <c r="U498" i="34"/>
  <c r="Y498" i="34"/>
  <c r="Z498" i="34"/>
  <c r="N499" i="34"/>
  <c r="S499" i="34"/>
  <c r="T499" i="34"/>
  <c r="U499" i="34"/>
  <c r="Y499" i="34"/>
  <c r="Z499" i="34"/>
  <c r="N500" i="34"/>
  <c r="S500" i="34"/>
  <c r="T500" i="34"/>
  <c r="U500" i="34"/>
  <c r="Y500" i="34"/>
  <c r="Z500" i="34"/>
  <c r="N501" i="34"/>
  <c r="S501" i="34"/>
  <c r="T501" i="34"/>
  <c r="U501" i="34"/>
  <c r="Y501" i="34"/>
  <c r="Z501" i="34"/>
  <c r="N502" i="34"/>
  <c r="S502" i="34"/>
  <c r="T502" i="34"/>
  <c r="U502" i="34"/>
  <c r="Y502" i="34"/>
  <c r="Z502" i="34"/>
  <c r="N503" i="34"/>
  <c r="S503" i="34"/>
  <c r="T503" i="34"/>
  <c r="U503" i="34"/>
  <c r="Y503" i="34"/>
  <c r="Z503" i="34"/>
  <c r="N504" i="34"/>
  <c r="S504" i="34"/>
  <c r="T504" i="34"/>
  <c r="U504" i="34"/>
  <c r="Y504" i="34"/>
  <c r="Z504" i="34"/>
  <c r="N505" i="34"/>
  <c r="S505" i="34"/>
  <c r="T505" i="34"/>
  <c r="U505" i="34"/>
  <c r="Y505" i="34"/>
  <c r="Z505" i="34"/>
  <c r="N506" i="34"/>
  <c r="S506" i="34"/>
  <c r="T506" i="34"/>
  <c r="U506" i="34"/>
  <c r="Y506" i="34"/>
  <c r="Z506" i="34"/>
  <c r="N507" i="34"/>
  <c r="S507" i="34"/>
  <c r="T507" i="34"/>
  <c r="U507" i="34"/>
  <c r="Y507" i="34"/>
  <c r="Z507" i="34"/>
  <c r="N508" i="34"/>
  <c r="S508" i="34"/>
  <c r="T508" i="34"/>
  <c r="U508" i="34"/>
  <c r="Y508" i="34"/>
  <c r="Z508" i="34"/>
  <c r="N509" i="34"/>
  <c r="S509" i="34"/>
  <c r="T509" i="34"/>
  <c r="U509" i="34"/>
  <c r="Y509" i="34"/>
  <c r="Z509" i="34"/>
  <c r="N510" i="34"/>
  <c r="S510" i="34"/>
  <c r="T510" i="34"/>
  <c r="U510" i="34"/>
  <c r="Y510" i="34"/>
  <c r="Z510" i="34"/>
  <c r="N511" i="34"/>
  <c r="S511" i="34"/>
  <c r="T511" i="34"/>
  <c r="U511" i="34"/>
  <c r="Y511" i="34"/>
  <c r="Z511" i="34"/>
  <c r="N512" i="34"/>
  <c r="S512" i="34"/>
  <c r="T512" i="34"/>
  <c r="U512" i="34"/>
  <c r="Y512" i="34"/>
  <c r="Z512" i="34"/>
  <c r="N513" i="34"/>
  <c r="S513" i="34"/>
  <c r="T513" i="34"/>
  <c r="U513" i="34"/>
  <c r="Y513" i="34"/>
  <c r="Z513" i="34"/>
  <c r="N514" i="34"/>
  <c r="S514" i="34"/>
  <c r="T514" i="34"/>
  <c r="U514" i="34"/>
  <c r="Y514" i="34"/>
  <c r="Z514" i="34"/>
  <c r="N515" i="34"/>
  <c r="S515" i="34"/>
  <c r="T515" i="34"/>
  <c r="U515" i="34"/>
  <c r="Y515" i="34"/>
  <c r="Z515" i="34"/>
  <c r="N519" i="34"/>
  <c r="S519" i="34"/>
  <c r="T519" i="34"/>
  <c r="U519" i="34"/>
  <c r="Y519" i="34"/>
  <c r="Z519" i="34"/>
  <c r="N520" i="34"/>
  <c r="S520" i="34"/>
  <c r="T520" i="34"/>
  <c r="U520" i="34"/>
  <c r="Y520" i="34"/>
  <c r="Z520" i="34"/>
  <c r="N521" i="34"/>
  <c r="S521" i="34"/>
  <c r="T521" i="34"/>
  <c r="U521" i="34"/>
  <c r="Y521" i="34"/>
  <c r="Z521" i="34"/>
  <c r="N522" i="34"/>
  <c r="S522" i="34"/>
  <c r="T522" i="34"/>
  <c r="U522" i="34"/>
  <c r="Y522" i="34"/>
  <c r="Z522" i="34"/>
  <c r="N523" i="34"/>
  <c r="S523" i="34"/>
  <c r="T523" i="34"/>
  <c r="U523" i="34"/>
  <c r="Y523" i="34"/>
  <c r="Z523" i="34"/>
  <c r="N524" i="34"/>
  <c r="S524" i="34"/>
  <c r="T524" i="34"/>
  <c r="U524" i="34"/>
  <c r="Y524" i="34"/>
  <c r="Z524" i="34"/>
  <c r="N525" i="34"/>
  <c r="S525" i="34"/>
  <c r="T525" i="34"/>
  <c r="U525" i="34"/>
  <c r="Y525" i="34"/>
  <c r="Z525" i="34"/>
  <c r="N526" i="34"/>
  <c r="S526" i="34"/>
  <c r="T526" i="34"/>
  <c r="U526" i="34"/>
  <c r="Y526" i="34"/>
  <c r="Z526" i="34"/>
  <c r="N527" i="34"/>
  <c r="S527" i="34"/>
  <c r="T527" i="34"/>
  <c r="U527" i="34"/>
  <c r="Y527" i="34"/>
  <c r="Z527" i="34"/>
  <c r="N528" i="34"/>
  <c r="S528" i="34"/>
  <c r="T528" i="34"/>
  <c r="U528" i="34"/>
  <c r="Y528" i="34"/>
  <c r="Z528" i="34"/>
  <c r="N529" i="34"/>
  <c r="S529" i="34"/>
  <c r="T529" i="34"/>
  <c r="U529" i="34"/>
  <c r="Y529" i="34"/>
  <c r="Z529" i="34"/>
  <c r="N530" i="34"/>
  <c r="S530" i="34"/>
  <c r="T530" i="34"/>
  <c r="U530" i="34"/>
  <c r="Y530" i="34"/>
  <c r="Z530" i="34"/>
  <c r="N531" i="34"/>
  <c r="S531" i="34"/>
  <c r="T531" i="34"/>
  <c r="U531" i="34"/>
  <c r="Y531" i="34"/>
  <c r="Z531" i="34"/>
  <c r="N532" i="34"/>
  <c r="S532" i="34"/>
  <c r="T532" i="34"/>
  <c r="U532" i="34"/>
  <c r="Y532" i="34"/>
  <c r="Z532" i="34"/>
  <c r="N533" i="34"/>
  <c r="S533" i="34"/>
  <c r="T533" i="34"/>
  <c r="U533" i="34"/>
  <c r="Y533" i="34"/>
  <c r="Z533" i="34"/>
  <c r="N534" i="34"/>
  <c r="S534" i="34"/>
  <c r="T534" i="34"/>
  <c r="U534" i="34"/>
  <c r="Y534" i="34"/>
  <c r="Z534" i="34"/>
  <c r="N535" i="34"/>
  <c r="S535" i="34"/>
  <c r="T535" i="34"/>
  <c r="U535" i="34"/>
  <c r="Y535" i="34"/>
  <c r="Z535" i="34"/>
  <c r="N536" i="34"/>
  <c r="S536" i="34"/>
  <c r="T536" i="34"/>
  <c r="U536" i="34"/>
  <c r="Y536" i="34"/>
  <c r="Z536" i="34"/>
  <c r="N537" i="34"/>
  <c r="S537" i="34"/>
  <c r="T537" i="34"/>
  <c r="U537" i="34"/>
  <c r="Y537" i="34"/>
  <c r="Z537" i="34"/>
  <c r="N538" i="34"/>
  <c r="S538" i="34"/>
  <c r="T538" i="34"/>
  <c r="U538" i="34"/>
  <c r="Y538" i="34"/>
  <c r="Z538" i="34"/>
  <c r="N539" i="34"/>
  <c r="S539" i="34"/>
  <c r="T539" i="34"/>
  <c r="U539" i="34"/>
  <c r="Y539" i="34"/>
  <c r="Z539" i="34"/>
  <c r="N540" i="34"/>
  <c r="S540" i="34"/>
  <c r="T540" i="34"/>
  <c r="U540" i="34"/>
  <c r="Y540" i="34"/>
  <c r="Z540" i="34"/>
  <c r="N541" i="34"/>
  <c r="S541" i="34"/>
  <c r="T541" i="34"/>
  <c r="U541" i="34"/>
  <c r="Y541" i="34"/>
  <c r="Z541" i="34"/>
  <c r="N542" i="34"/>
  <c r="S542" i="34"/>
  <c r="T542" i="34"/>
  <c r="U542" i="34"/>
  <c r="Y542" i="34"/>
  <c r="Z542" i="34"/>
  <c r="N543" i="34"/>
  <c r="S543" i="34"/>
  <c r="T543" i="34"/>
  <c r="U543" i="34"/>
  <c r="Y543" i="34"/>
  <c r="Z543" i="34"/>
  <c r="N544" i="34"/>
  <c r="S544" i="34"/>
  <c r="T544" i="34"/>
  <c r="U544" i="34"/>
  <c r="Y544" i="34"/>
  <c r="Z544" i="34"/>
  <c r="N545" i="34"/>
  <c r="S545" i="34"/>
  <c r="T545" i="34"/>
  <c r="U545" i="34"/>
  <c r="Y545" i="34"/>
  <c r="Z545" i="34"/>
  <c r="N546" i="34"/>
  <c r="S546" i="34"/>
  <c r="T546" i="34"/>
  <c r="U546" i="34"/>
  <c r="Y546" i="34"/>
  <c r="Z546" i="34"/>
  <c r="N547" i="34"/>
  <c r="S547" i="34"/>
  <c r="T547" i="34"/>
  <c r="U547" i="34"/>
  <c r="Y547" i="34"/>
  <c r="Z547" i="34"/>
  <c r="N548" i="34"/>
  <c r="S548" i="34"/>
  <c r="T548" i="34"/>
  <c r="U548" i="34"/>
  <c r="Y548" i="34"/>
  <c r="Z548" i="34"/>
  <c r="N549" i="34"/>
  <c r="S549" i="34"/>
  <c r="T549" i="34"/>
  <c r="U549" i="34"/>
  <c r="Y549" i="34"/>
  <c r="Z549" i="34"/>
  <c r="N550" i="34"/>
  <c r="S550" i="34"/>
  <c r="T550" i="34"/>
  <c r="U550" i="34"/>
  <c r="Y550" i="34"/>
  <c r="Z550" i="34"/>
  <c r="N551" i="34"/>
  <c r="S551" i="34"/>
  <c r="T551" i="34"/>
  <c r="U551" i="34"/>
  <c r="Y551" i="34"/>
  <c r="Z551" i="34"/>
  <c r="N552" i="34"/>
  <c r="S552" i="34"/>
  <c r="T552" i="34"/>
  <c r="U552" i="34"/>
  <c r="Y552" i="34"/>
  <c r="Z552" i="34"/>
  <c r="N553" i="34"/>
  <c r="S553" i="34"/>
  <c r="T553" i="34"/>
  <c r="U553" i="34"/>
  <c r="Y553" i="34"/>
  <c r="Z553" i="34"/>
  <c r="N554" i="34"/>
  <c r="S554" i="34"/>
  <c r="T554" i="34"/>
  <c r="U554" i="34"/>
  <c r="Y554" i="34"/>
  <c r="Z554" i="34"/>
  <c r="N555" i="34"/>
  <c r="S555" i="34"/>
  <c r="T555" i="34"/>
  <c r="U555" i="34"/>
  <c r="Y555" i="34"/>
  <c r="Z555" i="34"/>
  <c r="N556" i="34"/>
  <c r="S556" i="34"/>
  <c r="T556" i="34"/>
  <c r="U556" i="34"/>
  <c r="Y556" i="34"/>
  <c r="Z556" i="34"/>
  <c r="N562" i="34"/>
  <c r="S562" i="34"/>
  <c r="T562" i="34"/>
  <c r="U562" i="34"/>
  <c r="Y562" i="34"/>
  <c r="Z562" i="34"/>
  <c r="N563" i="34"/>
  <c r="S563" i="34"/>
  <c r="T563" i="34"/>
  <c r="U563" i="34"/>
  <c r="Y563" i="34"/>
  <c r="Z563" i="34"/>
  <c r="N566" i="34"/>
  <c r="S566" i="34"/>
  <c r="T566" i="34"/>
  <c r="U566" i="34"/>
  <c r="Y566" i="34"/>
  <c r="Z566" i="34"/>
  <c r="N567" i="34"/>
  <c r="S567" i="34"/>
  <c r="T567" i="34"/>
  <c r="U567" i="34"/>
  <c r="Y567" i="34"/>
  <c r="Z567" i="34"/>
  <c r="N568" i="34"/>
  <c r="S568" i="34"/>
  <c r="T568" i="34"/>
  <c r="U568" i="34"/>
  <c r="Y568" i="34"/>
  <c r="Z568" i="34"/>
  <c r="N569" i="34"/>
  <c r="S569" i="34"/>
  <c r="T569" i="34"/>
  <c r="U569" i="34"/>
  <c r="Y569" i="34"/>
  <c r="Z569" i="34"/>
  <c r="N570" i="34"/>
  <c r="S570" i="34"/>
  <c r="T570" i="34"/>
  <c r="U570" i="34"/>
  <c r="Y570" i="34"/>
  <c r="Z570" i="34"/>
  <c r="N573" i="34"/>
  <c r="S573" i="34"/>
  <c r="T573" i="34"/>
  <c r="U573" i="34"/>
  <c r="Y573" i="34"/>
  <c r="Z573" i="34"/>
  <c r="N574" i="34"/>
  <c r="S574" i="34"/>
  <c r="T574" i="34"/>
  <c r="U574" i="34"/>
  <c r="Y574" i="34"/>
  <c r="Z574" i="34"/>
  <c r="N575" i="34"/>
  <c r="S575" i="34"/>
  <c r="T575" i="34"/>
  <c r="U575" i="34"/>
  <c r="Y575" i="34"/>
  <c r="Z575" i="34"/>
  <c r="N576" i="34"/>
  <c r="S576" i="34"/>
  <c r="T576" i="34"/>
  <c r="U576" i="34"/>
  <c r="Y576" i="34"/>
  <c r="Z576" i="34"/>
  <c r="N577" i="34"/>
  <c r="S577" i="34"/>
  <c r="T577" i="34"/>
  <c r="U577" i="34"/>
  <c r="Y577" i="34"/>
  <c r="Z577" i="34"/>
  <c r="N578" i="34"/>
  <c r="S578" i="34"/>
  <c r="T578" i="34"/>
  <c r="U578" i="34"/>
  <c r="Y578" i="34"/>
  <c r="Z578" i="34"/>
  <c r="N579" i="34"/>
  <c r="S579" i="34"/>
  <c r="T579" i="34"/>
  <c r="U579" i="34"/>
  <c r="Y579" i="34"/>
  <c r="Z579" i="34"/>
  <c r="N580" i="34"/>
  <c r="S580" i="34"/>
  <c r="T580" i="34"/>
  <c r="U580" i="34"/>
  <c r="Y580" i="34"/>
  <c r="Z580" i="34"/>
  <c r="N581" i="34"/>
  <c r="S581" i="34"/>
  <c r="T581" i="34"/>
  <c r="U581" i="34"/>
  <c r="Y581" i="34"/>
  <c r="Z581" i="34"/>
  <c r="N582" i="34"/>
  <c r="S582" i="34"/>
  <c r="T582" i="34"/>
  <c r="U582" i="34"/>
  <c r="Y582" i="34"/>
  <c r="Z582" i="34"/>
  <c r="N583" i="34"/>
  <c r="S583" i="34"/>
  <c r="T583" i="34"/>
  <c r="U583" i="34"/>
  <c r="Y583" i="34"/>
  <c r="Z583" i="34"/>
  <c r="N586" i="34"/>
  <c r="S586" i="34"/>
  <c r="T586" i="34"/>
  <c r="U586" i="34"/>
  <c r="Y586" i="34"/>
  <c r="Z586" i="34"/>
  <c r="N587" i="34"/>
  <c r="S587" i="34"/>
  <c r="T587" i="34"/>
  <c r="U587" i="34"/>
  <c r="Y587" i="34"/>
  <c r="Z587" i="34"/>
  <c r="N588" i="34"/>
  <c r="S588" i="34"/>
  <c r="T588" i="34"/>
  <c r="U588" i="34"/>
  <c r="Y588" i="34"/>
  <c r="Z588" i="34"/>
  <c r="N589" i="34"/>
  <c r="S589" i="34"/>
  <c r="T589" i="34"/>
  <c r="U589" i="34"/>
  <c r="Y589" i="34"/>
  <c r="Z589" i="34"/>
  <c r="N590" i="34"/>
  <c r="S590" i="34"/>
  <c r="T590" i="34"/>
  <c r="U590" i="34"/>
  <c r="Y590" i="34"/>
  <c r="Z590" i="34"/>
  <c r="N591" i="34"/>
  <c r="S591" i="34"/>
  <c r="T591" i="34"/>
  <c r="U591" i="34"/>
  <c r="Y591" i="34"/>
  <c r="Z591" i="34"/>
  <c r="N592" i="34"/>
  <c r="S592" i="34"/>
  <c r="T592" i="34"/>
  <c r="U592" i="34"/>
  <c r="Y592" i="34"/>
  <c r="Z592" i="34"/>
  <c r="N593" i="34"/>
  <c r="S593" i="34"/>
  <c r="T593" i="34"/>
  <c r="U593" i="34"/>
  <c r="Y593" i="34"/>
  <c r="Z593" i="34"/>
  <c r="N594" i="34"/>
  <c r="S594" i="34"/>
  <c r="T594" i="34"/>
  <c r="U594" i="34"/>
  <c r="Y594" i="34"/>
  <c r="Z594" i="34"/>
  <c r="N595" i="34"/>
  <c r="S595" i="34"/>
  <c r="T595" i="34"/>
  <c r="U595" i="34"/>
  <c r="Y595" i="34"/>
  <c r="Z595" i="34"/>
  <c r="N596" i="34"/>
  <c r="S596" i="34"/>
  <c r="T596" i="34"/>
  <c r="U596" i="34"/>
  <c r="Y596" i="34"/>
  <c r="Z596" i="34"/>
  <c r="N597" i="34"/>
  <c r="S597" i="34"/>
  <c r="T597" i="34"/>
  <c r="U597" i="34"/>
  <c r="Y597" i="34"/>
  <c r="Z597" i="34"/>
  <c r="N598" i="34"/>
  <c r="S598" i="34"/>
  <c r="T598" i="34"/>
  <c r="U598" i="34"/>
  <c r="Y598" i="34"/>
  <c r="Z598" i="34"/>
  <c r="N599" i="34"/>
  <c r="S599" i="34"/>
  <c r="T599" i="34"/>
  <c r="U599" i="34"/>
  <c r="Y599" i="34"/>
  <c r="Z599" i="34"/>
  <c r="N600" i="34"/>
  <c r="S600" i="34"/>
  <c r="T600" i="34"/>
  <c r="U600" i="34"/>
  <c r="Y600" i="34"/>
  <c r="Z600" i="34"/>
  <c r="N601" i="34"/>
  <c r="S601" i="34"/>
  <c r="T601" i="34"/>
  <c r="U601" i="34"/>
  <c r="Y601" i="34"/>
  <c r="Z601" i="34"/>
  <c r="N602" i="34"/>
  <c r="S602" i="34"/>
  <c r="T602" i="34"/>
  <c r="U602" i="34"/>
  <c r="Y602" i="34"/>
  <c r="Z602" i="34"/>
  <c r="N603" i="34"/>
  <c r="S603" i="34"/>
  <c r="T603" i="34"/>
  <c r="U603" i="34"/>
  <c r="Y603" i="34"/>
  <c r="Z603" i="34"/>
  <c r="N604" i="34"/>
  <c r="S604" i="34"/>
  <c r="T604" i="34"/>
  <c r="U604" i="34"/>
  <c r="Y604" i="34"/>
  <c r="Z604" i="34"/>
  <c r="N605" i="34"/>
  <c r="S605" i="34"/>
  <c r="T605" i="34"/>
  <c r="U605" i="34"/>
  <c r="Y605" i="34"/>
  <c r="Z605" i="34"/>
  <c r="N606" i="34"/>
  <c r="S606" i="34"/>
  <c r="T606" i="34"/>
  <c r="U606" i="34"/>
  <c r="Y606" i="34"/>
  <c r="Z606" i="34"/>
  <c r="N607" i="34"/>
  <c r="S607" i="34"/>
  <c r="T607" i="34"/>
  <c r="U607" i="34"/>
  <c r="Y607" i="34"/>
  <c r="Z607" i="34"/>
  <c r="N608" i="34"/>
  <c r="S608" i="34"/>
  <c r="T608" i="34"/>
  <c r="U608" i="34"/>
  <c r="Y608" i="34"/>
  <c r="Z608" i="34"/>
  <c r="N609" i="34"/>
  <c r="S609" i="34"/>
  <c r="T609" i="34"/>
  <c r="U609" i="34"/>
  <c r="Y609" i="34"/>
  <c r="Z609" i="34"/>
  <c r="N610" i="34"/>
  <c r="S610" i="34"/>
  <c r="T610" i="34"/>
  <c r="U610" i="34"/>
  <c r="Y610" i="34"/>
  <c r="Z610" i="34"/>
  <c r="N611" i="34"/>
  <c r="S611" i="34"/>
  <c r="T611" i="34"/>
  <c r="U611" i="34"/>
  <c r="Y611" i="34"/>
  <c r="Z611" i="34"/>
  <c r="N612" i="34"/>
  <c r="S612" i="34"/>
  <c r="T612" i="34"/>
  <c r="U612" i="34"/>
  <c r="Y612" i="34"/>
  <c r="Z612" i="34"/>
  <c r="N613" i="34"/>
  <c r="S613" i="34"/>
  <c r="T613" i="34"/>
  <c r="U613" i="34"/>
  <c r="Y613" i="34"/>
  <c r="Z613" i="34"/>
  <c r="N614" i="34"/>
  <c r="S614" i="34"/>
  <c r="T614" i="34"/>
  <c r="U614" i="34"/>
  <c r="Y614" i="34"/>
  <c r="Z614" i="34"/>
  <c r="N615" i="34"/>
  <c r="S615" i="34"/>
  <c r="T615" i="34"/>
  <c r="U615" i="34"/>
  <c r="Y615" i="34"/>
  <c r="Z615" i="34"/>
  <c r="N616" i="34"/>
  <c r="S616" i="34"/>
  <c r="T616" i="34"/>
  <c r="U616" i="34"/>
  <c r="Y616" i="34"/>
  <c r="Z616" i="34"/>
  <c r="N617" i="34"/>
  <c r="S617" i="34"/>
  <c r="T617" i="34"/>
  <c r="U617" i="34"/>
  <c r="Y617" i="34"/>
  <c r="Z617" i="34"/>
  <c r="N618" i="34"/>
  <c r="S618" i="34"/>
  <c r="T618" i="34"/>
  <c r="U618" i="34"/>
  <c r="Y618" i="34"/>
  <c r="Z618" i="34"/>
  <c r="N619" i="34"/>
  <c r="S619" i="34"/>
  <c r="T619" i="34"/>
  <c r="U619" i="34"/>
  <c r="Y619" i="34"/>
  <c r="Z619" i="34"/>
  <c r="N620" i="34"/>
  <c r="S620" i="34"/>
  <c r="T620" i="34"/>
  <c r="U620" i="34"/>
  <c r="Y620" i="34"/>
  <c r="Z620" i="34"/>
  <c r="N621" i="34"/>
  <c r="S621" i="34"/>
  <c r="T621" i="34"/>
  <c r="U621" i="34"/>
  <c r="Y621" i="34"/>
  <c r="Z621" i="34"/>
  <c r="N622" i="34"/>
  <c r="S622" i="34"/>
  <c r="T622" i="34"/>
  <c r="U622" i="34"/>
  <c r="Y622" i="34"/>
  <c r="Z622" i="34"/>
  <c r="N623" i="34"/>
  <c r="S623" i="34"/>
  <c r="T623" i="34"/>
  <c r="U623" i="34"/>
  <c r="Y623" i="34"/>
  <c r="Z623" i="34"/>
  <c r="N624" i="34"/>
  <c r="S624" i="34"/>
  <c r="T624" i="34"/>
  <c r="U624" i="34"/>
  <c r="Y624" i="34"/>
  <c r="Z624" i="34"/>
  <c r="N625" i="34"/>
  <c r="S625" i="34"/>
  <c r="T625" i="34"/>
  <c r="U625" i="34"/>
  <c r="Y625" i="34"/>
  <c r="Z625" i="34"/>
  <c r="N626" i="34"/>
  <c r="S626" i="34"/>
  <c r="T626" i="34"/>
  <c r="U626" i="34"/>
  <c r="Y626" i="34"/>
  <c r="Z626" i="34"/>
  <c r="N627" i="34"/>
  <c r="S627" i="34"/>
  <c r="T627" i="34"/>
  <c r="U627" i="34"/>
  <c r="Y627" i="34"/>
  <c r="Z627" i="34"/>
  <c r="N628" i="34"/>
  <c r="S628" i="34"/>
  <c r="T628" i="34"/>
  <c r="U628" i="34"/>
  <c r="Y628" i="34"/>
  <c r="Z628" i="34"/>
  <c r="N629" i="34"/>
  <c r="S629" i="34"/>
  <c r="T629" i="34"/>
  <c r="U629" i="34"/>
  <c r="Y629" i="34"/>
  <c r="Z629" i="34"/>
  <c r="N630" i="34"/>
  <c r="S630" i="34"/>
  <c r="T630" i="34"/>
  <c r="U630" i="34"/>
  <c r="Y630" i="34"/>
  <c r="Z630" i="34"/>
  <c r="N631" i="34"/>
  <c r="S631" i="34"/>
  <c r="T631" i="34"/>
  <c r="U631" i="34"/>
  <c r="Y631" i="34"/>
  <c r="Z631" i="34"/>
  <c r="N632" i="34"/>
  <c r="S632" i="34"/>
  <c r="T632" i="34"/>
  <c r="U632" i="34"/>
  <c r="Y632" i="34"/>
  <c r="Z632" i="34"/>
  <c r="N633" i="34"/>
  <c r="S633" i="34"/>
  <c r="T633" i="34"/>
  <c r="U633" i="34"/>
  <c r="Y633" i="34"/>
  <c r="Z633" i="34"/>
  <c r="N636" i="34"/>
  <c r="S636" i="34"/>
  <c r="T636" i="34"/>
  <c r="U636" i="34"/>
  <c r="Y636" i="34"/>
  <c r="Z636" i="34"/>
  <c r="N637" i="34"/>
  <c r="S637" i="34"/>
  <c r="T637" i="34"/>
  <c r="U637" i="34"/>
  <c r="Y637" i="34"/>
  <c r="Z637" i="34"/>
  <c r="N638" i="34"/>
  <c r="S638" i="34"/>
  <c r="T638" i="34"/>
  <c r="U638" i="34"/>
  <c r="Y638" i="34"/>
  <c r="Z638" i="34"/>
  <c r="N639" i="34"/>
  <c r="S639" i="34"/>
  <c r="T639" i="34"/>
  <c r="U639" i="34"/>
  <c r="Y639" i="34"/>
  <c r="Z639" i="34"/>
  <c r="N640" i="34"/>
  <c r="S640" i="34"/>
  <c r="T640" i="34"/>
  <c r="U640" i="34"/>
  <c r="Y640" i="34"/>
  <c r="Z640" i="34"/>
  <c r="N641" i="34"/>
  <c r="S641" i="34"/>
  <c r="T641" i="34"/>
  <c r="U641" i="34"/>
  <c r="Y641" i="34"/>
  <c r="Z641" i="34"/>
  <c r="N642" i="34"/>
  <c r="S642" i="34"/>
  <c r="T642" i="34"/>
  <c r="U642" i="34"/>
  <c r="Y642" i="34"/>
  <c r="Z642" i="34"/>
  <c r="N643" i="34"/>
  <c r="S643" i="34"/>
  <c r="T643" i="34"/>
  <c r="U643" i="34"/>
  <c r="Y643" i="34"/>
  <c r="Z643" i="34"/>
  <c r="N644" i="34"/>
  <c r="S644" i="34"/>
  <c r="T644" i="34"/>
  <c r="U644" i="34"/>
  <c r="Y644" i="34"/>
  <c r="Z644" i="34"/>
  <c r="N645" i="34"/>
  <c r="S645" i="34"/>
  <c r="T645" i="34"/>
  <c r="U645" i="34"/>
  <c r="Y645" i="34"/>
  <c r="Z645" i="34"/>
  <c r="N646" i="34"/>
  <c r="S646" i="34"/>
  <c r="T646" i="34"/>
  <c r="U646" i="34"/>
  <c r="Y646" i="34"/>
  <c r="Z646" i="34"/>
  <c r="N647" i="34"/>
  <c r="S647" i="34"/>
  <c r="T647" i="34"/>
  <c r="U647" i="34"/>
  <c r="Y647" i="34"/>
  <c r="Z647" i="34"/>
  <c r="N648" i="34"/>
  <c r="S648" i="34"/>
  <c r="T648" i="34"/>
  <c r="U648" i="34"/>
  <c r="Y648" i="34"/>
  <c r="Z648" i="34"/>
  <c r="N649" i="34"/>
  <c r="S649" i="34"/>
  <c r="T649" i="34"/>
  <c r="U649" i="34"/>
  <c r="Y649" i="34"/>
  <c r="Z649" i="34"/>
  <c r="N650" i="34"/>
  <c r="S650" i="34"/>
  <c r="T650" i="34"/>
  <c r="U650" i="34"/>
  <c r="Y650" i="34"/>
  <c r="Z650" i="34"/>
  <c r="N653" i="34"/>
  <c r="S653" i="34"/>
  <c r="T653" i="34"/>
  <c r="U653" i="34"/>
  <c r="Y653" i="34"/>
  <c r="Z653" i="34"/>
  <c r="N654" i="34"/>
  <c r="S654" i="34"/>
  <c r="T654" i="34"/>
  <c r="U654" i="34"/>
  <c r="Y654" i="34"/>
  <c r="Z654" i="34"/>
  <c r="N655" i="34"/>
  <c r="S655" i="34"/>
  <c r="T655" i="34"/>
  <c r="U655" i="34"/>
  <c r="Y655" i="34"/>
  <c r="Z655" i="34"/>
  <c r="N656" i="34"/>
  <c r="S656" i="34"/>
  <c r="T656" i="34"/>
  <c r="U656" i="34"/>
  <c r="Y656" i="34"/>
  <c r="Z656" i="34"/>
  <c r="N657" i="34"/>
  <c r="S657" i="34"/>
  <c r="T657" i="34"/>
  <c r="U657" i="34"/>
  <c r="Y657" i="34"/>
  <c r="Z657" i="34"/>
  <c r="N658" i="34"/>
  <c r="S658" i="34"/>
  <c r="T658" i="34"/>
  <c r="U658" i="34"/>
  <c r="Y658" i="34"/>
  <c r="Z658" i="34"/>
  <c r="N659" i="34"/>
  <c r="S659" i="34"/>
  <c r="T659" i="34"/>
  <c r="U659" i="34"/>
  <c r="Y659" i="34"/>
  <c r="Z659" i="34"/>
  <c r="N660" i="34"/>
  <c r="S660" i="34"/>
  <c r="T660" i="34"/>
  <c r="U660" i="34"/>
  <c r="Y660" i="34"/>
  <c r="Z660" i="34"/>
  <c r="N661" i="34"/>
  <c r="S661" i="34"/>
  <c r="T661" i="34"/>
  <c r="U661" i="34"/>
  <c r="Y661" i="34"/>
  <c r="Z661" i="34"/>
  <c r="N662" i="34"/>
  <c r="S662" i="34"/>
  <c r="T662" i="34"/>
  <c r="U662" i="34"/>
  <c r="Y662" i="34"/>
  <c r="Z662" i="34"/>
  <c r="N663" i="34"/>
  <c r="S663" i="34"/>
  <c r="T663" i="34"/>
  <c r="U663" i="34"/>
  <c r="Y663" i="34"/>
  <c r="Z663" i="34"/>
  <c r="N668" i="34"/>
  <c r="S668" i="34"/>
  <c r="T668" i="34"/>
  <c r="U668" i="34"/>
  <c r="Y668" i="34"/>
  <c r="Z668" i="34"/>
  <c r="N669" i="34"/>
  <c r="S669" i="34"/>
  <c r="T669" i="34"/>
  <c r="U669" i="34"/>
  <c r="Y669" i="34"/>
  <c r="Z669" i="34"/>
  <c r="N670" i="34"/>
  <c r="S670" i="34"/>
  <c r="T670" i="34"/>
  <c r="U670" i="34"/>
  <c r="Y670" i="34"/>
  <c r="Z670" i="34"/>
  <c r="N673" i="34"/>
  <c r="S673" i="34"/>
  <c r="T673" i="34"/>
  <c r="U673" i="34"/>
  <c r="Y673" i="34"/>
  <c r="Z673" i="34"/>
  <c r="N674" i="34"/>
  <c r="S674" i="34"/>
  <c r="T674" i="34"/>
  <c r="U674" i="34"/>
  <c r="Y674" i="34"/>
  <c r="Z674" i="34"/>
  <c r="N675" i="34"/>
  <c r="S675" i="34"/>
  <c r="T675" i="34"/>
  <c r="U675" i="34"/>
  <c r="Y675" i="34"/>
  <c r="Z675" i="34"/>
  <c r="N676" i="34"/>
  <c r="S676" i="34"/>
  <c r="T676" i="34"/>
  <c r="U676" i="34"/>
  <c r="Y676" i="34"/>
  <c r="Z676" i="34"/>
  <c r="N679" i="34"/>
  <c r="S679" i="34"/>
  <c r="T679" i="34"/>
  <c r="U679" i="34"/>
  <c r="Y679" i="34"/>
  <c r="Z679" i="34"/>
  <c r="N680" i="34"/>
  <c r="S680" i="34"/>
  <c r="T680" i="34"/>
  <c r="U680" i="34"/>
  <c r="Y680" i="34"/>
  <c r="Z680" i="34"/>
  <c r="N681" i="34"/>
  <c r="S681" i="34"/>
  <c r="T681" i="34"/>
  <c r="U681" i="34"/>
  <c r="Y681" i="34"/>
  <c r="Z681" i="34"/>
  <c r="N682" i="34"/>
  <c r="S682" i="34"/>
  <c r="T682" i="34"/>
  <c r="U682" i="34"/>
  <c r="Y682" i="34"/>
  <c r="Z682" i="34"/>
  <c r="N683" i="34"/>
  <c r="S683" i="34"/>
  <c r="T683" i="34"/>
  <c r="U683" i="34"/>
  <c r="Y683" i="34"/>
  <c r="Z683" i="34"/>
  <c r="N684" i="34"/>
  <c r="S684" i="34"/>
  <c r="T684" i="34"/>
  <c r="U684" i="34"/>
  <c r="Y684" i="34"/>
  <c r="Z684" i="34"/>
  <c r="N685" i="34"/>
  <c r="S685" i="34"/>
  <c r="T685" i="34"/>
  <c r="U685" i="34"/>
  <c r="Y685" i="34"/>
  <c r="Z685" i="34"/>
  <c r="N686" i="34"/>
  <c r="S686" i="34"/>
  <c r="T686" i="34"/>
  <c r="U686" i="34"/>
  <c r="Y686" i="34"/>
  <c r="Z686" i="34"/>
  <c r="N687" i="34"/>
  <c r="S687" i="34"/>
  <c r="T687" i="34"/>
  <c r="U687" i="34"/>
  <c r="Y687" i="34"/>
  <c r="Z687" i="34"/>
  <c r="N688" i="34"/>
  <c r="S688" i="34"/>
  <c r="T688" i="34"/>
  <c r="U688" i="34"/>
  <c r="Y688" i="34"/>
  <c r="Z688" i="34"/>
  <c r="N689" i="34"/>
  <c r="S689" i="34"/>
  <c r="T689" i="34"/>
  <c r="U689" i="34"/>
  <c r="Y689" i="34"/>
  <c r="Z689" i="34"/>
  <c r="N696" i="34"/>
  <c r="S696" i="34"/>
  <c r="T696" i="34"/>
  <c r="U696" i="34"/>
  <c r="Y696" i="34"/>
  <c r="Z696" i="34"/>
  <c r="N697" i="34"/>
  <c r="S697" i="34"/>
  <c r="T697" i="34"/>
  <c r="U697" i="34"/>
  <c r="Y697" i="34"/>
  <c r="Z697" i="34"/>
  <c r="N698" i="34"/>
  <c r="S698" i="34"/>
  <c r="T698" i="34"/>
  <c r="U698" i="34"/>
  <c r="Y698" i="34"/>
  <c r="Z698" i="34"/>
  <c r="N699" i="34"/>
  <c r="S699" i="34"/>
  <c r="T699" i="34"/>
  <c r="U699" i="34"/>
  <c r="Y699" i="34"/>
  <c r="Z699" i="34"/>
  <c r="N700" i="34"/>
  <c r="S700" i="34"/>
  <c r="T700" i="34"/>
  <c r="U700" i="34"/>
  <c r="Y700" i="34"/>
  <c r="Z700" i="34"/>
  <c r="N701" i="34"/>
  <c r="S701" i="34"/>
  <c r="T701" i="34"/>
  <c r="U701" i="34"/>
  <c r="Y701" i="34"/>
  <c r="Z701" i="34"/>
  <c r="N702" i="34"/>
  <c r="S702" i="34"/>
  <c r="T702" i="34"/>
  <c r="U702" i="34"/>
  <c r="Y702" i="34"/>
  <c r="Z702" i="34"/>
  <c r="N703" i="34"/>
  <c r="S703" i="34"/>
  <c r="T703" i="34"/>
  <c r="U703" i="34"/>
  <c r="Y703" i="34"/>
  <c r="Z703" i="34"/>
  <c r="N705" i="34"/>
  <c r="S705" i="34"/>
  <c r="T705" i="34"/>
  <c r="U705" i="34"/>
  <c r="Y705" i="34"/>
  <c r="Z705" i="34"/>
  <c r="N706" i="34"/>
  <c r="S706" i="34"/>
  <c r="T706" i="34"/>
  <c r="U706" i="34"/>
  <c r="Y706" i="34"/>
  <c r="Z706" i="34"/>
  <c r="N707" i="34"/>
  <c r="S707" i="34"/>
  <c r="T707" i="34"/>
  <c r="U707" i="34"/>
  <c r="Y707" i="34"/>
  <c r="Z707" i="34"/>
  <c r="N708" i="34"/>
  <c r="S708" i="34"/>
  <c r="T708" i="34"/>
  <c r="U708" i="34"/>
  <c r="Y708" i="34"/>
  <c r="Z708" i="34"/>
  <c r="N709" i="34"/>
  <c r="S709" i="34"/>
  <c r="T709" i="34"/>
  <c r="U709" i="34"/>
  <c r="Y709" i="34"/>
  <c r="Z709" i="34"/>
  <c r="N710" i="34"/>
  <c r="S710" i="34"/>
  <c r="T710" i="34"/>
  <c r="U710" i="34"/>
  <c r="Y710" i="34"/>
  <c r="Z710" i="34"/>
  <c r="N722" i="34"/>
  <c r="S722" i="34"/>
  <c r="T722" i="34"/>
  <c r="U722" i="34"/>
  <c r="Y722" i="34"/>
  <c r="Z722" i="34"/>
  <c r="N723" i="34"/>
  <c r="S723" i="34"/>
  <c r="T723" i="34"/>
  <c r="U723" i="34"/>
  <c r="Y723" i="34"/>
  <c r="Z723" i="34"/>
  <c r="N724" i="34"/>
  <c r="S724" i="34"/>
  <c r="T724" i="34"/>
  <c r="U724" i="34"/>
  <c r="Y724" i="34"/>
  <c r="Z724" i="34"/>
  <c r="N725" i="34"/>
  <c r="S725" i="34"/>
  <c r="T725" i="34"/>
  <c r="U725" i="34"/>
  <c r="Y725" i="34"/>
  <c r="Z725" i="34"/>
  <c r="N726" i="34"/>
  <c r="S726" i="34"/>
  <c r="T726" i="34"/>
  <c r="U726" i="34"/>
  <c r="Y726" i="34"/>
  <c r="Z726" i="34"/>
  <c r="N727" i="34"/>
  <c r="S727" i="34"/>
  <c r="T727" i="34"/>
  <c r="U727" i="34"/>
  <c r="Y727" i="34"/>
  <c r="Z727" i="34"/>
  <c r="N728" i="34"/>
  <c r="S728" i="34"/>
  <c r="T728" i="34"/>
  <c r="U728" i="34"/>
  <c r="Y728" i="34"/>
  <c r="Z728" i="34"/>
  <c r="N729" i="34"/>
  <c r="S729" i="34"/>
  <c r="T729" i="34"/>
  <c r="U729" i="34"/>
  <c r="Y729" i="34"/>
  <c r="Z729" i="34"/>
  <c r="N730" i="34"/>
  <c r="S730" i="34"/>
  <c r="T730" i="34"/>
  <c r="U730" i="34"/>
  <c r="Y730" i="34"/>
  <c r="Z730" i="34"/>
  <c r="N731" i="34"/>
  <c r="S731" i="34"/>
  <c r="T731" i="34"/>
  <c r="U731" i="34"/>
  <c r="Y731" i="34"/>
  <c r="Z731" i="34"/>
  <c r="N732" i="34"/>
  <c r="S732" i="34"/>
  <c r="T732" i="34"/>
  <c r="U732" i="34"/>
  <c r="Y732" i="34"/>
  <c r="Z732" i="34"/>
  <c r="N733" i="34"/>
  <c r="S733" i="34"/>
  <c r="T733" i="34"/>
  <c r="U733" i="34"/>
  <c r="Y733" i="34"/>
  <c r="Z733" i="34"/>
  <c r="N734" i="34"/>
  <c r="S734" i="34"/>
  <c r="T734" i="34"/>
  <c r="U734" i="34"/>
  <c r="Y734" i="34"/>
  <c r="Z734" i="34"/>
  <c r="N735" i="34"/>
  <c r="S735" i="34"/>
  <c r="T735" i="34"/>
  <c r="U735" i="34"/>
  <c r="Y735" i="34"/>
  <c r="Z735" i="34"/>
  <c r="N736" i="34"/>
  <c r="S736" i="34"/>
  <c r="T736" i="34"/>
  <c r="U736" i="34"/>
  <c r="Y736" i="34"/>
  <c r="Z736" i="34"/>
  <c r="N737" i="34"/>
  <c r="S737" i="34"/>
  <c r="T737" i="34"/>
  <c r="U737" i="34"/>
  <c r="Y737" i="34"/>
  <c r="Z737" i="34"/>
  <c r="N738" i="34"/>
  <c r="S738" i="34"/>
  <c r="T738" i="34"/>
  <c r="U738" i="34"/>
  <c r="Y738" i="34"/>
  <c r="Z738" i="34"/>
  <c r="N739" i="34"/>
  <c r="S739" i="34"/>
  <c r="T739" i="34"/>
  <c r="U739" i="34"/>
  <c r="Y739" i="34"/>
  <c r="Z739" i="34"/>
  <c r="N740" i="34"/>
  <c r="S740" i="34"/>
  <c r="T740" i="34"/>
  <c r="U740" i="34"/>
  <c r="Y740" i="34"/>
  <c r="Z740" i="34"/>
  <c r="N741" i="34"/>
  <c r="S741" i="34"/>
  <c r="T741" i="34"/>
  <c r="U741" i="34"/>
  <c r="Y741" i="34"/>
  <c r="Z741" i="34"/>
  <c r="N742" i="34"/>
  <c r="S742" i="34"/>
  <c r="T742" i="34"/>
  <c r="U742" i="34"/>
  <c r="Y742" i="34"/>
  <c r="Z742" i="34"/>
  <c r="N743" i="34"/>
  <c r="S743" i="34"/>
  <c r="T743" i="34"/>
  <c r="U743" i="34"/>
  <c r="Y743" i="34"/>
  <c r="Z743" i="34"/>
  <c r="N744" i="34"/>
  <c r="S744" i="34"/>
  <c r="T744" i="34"/>
  <c r="U744" i="34"/>
  <c r="Y744" i="34"/>
  <c r="Z744" i="34"/>
  <c r="N745" i="34"/>
  <c r="S745" i="34"/>
  <c r="T745" i="34"/>
  <c r="U745" i="34"/>
  <c r="Y745" i="34"/>
  <c r="Z745" i="34"/>
  <c r="N746" i="34"/>
  <c r="S746" i="34"/>
  <c r="T746" i="34"/>
  <c r="U746" i="34"/>
  <c r="Y746" i="34"/>
  <c r="Z746" i="34"/>
  <c r="N747" i="34"/>
  <c r="S747" i="34"/>
  <c r="T747" i="34"/>
  <c r="U747" i="34"/>
  <c r="Y747" i="34"/>
  <c r="Z747" i="34"/>
  <c r="N750" i="34"/>
  <c r="S750" i="34"/>
  <c r="T750" i="34"/>
  <c r="U750" i="34"/>
  <c r="Y750" i="34"/>
  <c r="Z750" i="34"/>
  <c r="N751" i="34"/>
  <c r="S751" i="34"/>
  <c r="T751" i="34"/>
  <c r="U751" i="34"/>
  <c r="Y751" i="34"/>
  <c r="Z751" i="34"/>
  <c r="N752" i="34"/>
  <c r="S752" i="34"/>
  <c r="T752" i="34"/>
  <c r="U752" i="34"/>
  <c r="Y752" i="34"/>
  <c r="Z752" i="34"/>
  <c r="N753" i="34"/>
  <c r="S753" i="34"/>
  <c r="T753" i="34"/>
  <c r="U753" i="34"/>
  <c r="Y753" i="34"/>
  <c r="Z753" i="34"/>
  <c r="N754" i="34"/>
  <c r="S754" i="34"/>
  <c r="T754" i="34"/>
  <c r="U754" i="34"/>
  <c r="Y754" i="34"/>
  <c r="Z754" i="34"/>
  <c r="N755" i="34"/>
  <c r="S755" i="34"/>
  <c r="T755" i="34"/>
  <c r="U755" i="34"/>
  <c r="Y755" i="34"/>
  <c r="Z755" i="34"/>
  <c r="N756" i="34"/>
  <c r="S756" i="34"/>
  <c r="T756" i="34"/>
  <c r="U756" i="34"/>
  <c r="Y756" i="34"/>
  <c r="Z756" i="34"/>
  <c r="N757" i="34"/>
  <c r="S757" i="34"/>
  <c r="T757" i="34"/>
  <c r="U757" i="34"/>
  <c r="Y757" i="34"/>
  <c r="Z757" i="34"/>
  <c r="N758" i="34"/>
  <c r="S758" i="34"/>
  <c r="T758" i="34"/>
  <c r="U758" i="34"/>
  <c r="Y758" i="34"/>
  <c r="Z758" i="34"/>
  <c r="N759" i="34"/>
  <c r="S759" i="34"/>
  <c r="T759" i="34"/>
  <c r="U759" i="34"/>
  <c r="Y759" i="34"/>
  <c r="Z759" i="34"/>
  <c r="N774" i="34"/>
  <c r="S774" i="34"/>
  <c r="T774" i="34"/>
  <c r="U774" i="34"/>
  <c r="Y774" i="34"/>
  <c r="Z774" i="34"/>
  <c r="N775" i="34"/>
  <c r="S775" i="34"/>
  <c r="T775" i="34"/>
  <c r="U775" i="34"/>
  <c r="Y775" i="34"/>
  <c r="Z775" i="34"/>
  <c r="N780" i="34"/>
  <c r="S780" i="34"/>
  <c r="T780" i="34"/>
  <c r="U780" i="34"/>
  <c r="Y780" i="34"/>
  <c r="Z780" i="34"/>
  <c r="N781" i="34"/>
  <c r="S781" i="34"/>
  <c r="T781" i="34"/>
  <c r="U781" i="34"/>
  <c r="Y781" i="34"/>
  <c r="Z781" i="34"/>
  <c r="N782" i="34"/>
  <c r="S782" i="34"/>
  <c r="T782" i="34"/>
  <c r="U782" i="34"/>
  <c r="Y782" i="34"/>
  <c r="Z782" i="34"/>
  <c r="N783" i="34"/>
  <c r="S783" i="34"/>
  <c r="T783" i="34"/>
  <c r="U783" i="34"/>
  <c r="Y783" i="34"/>
  <c r="Z783" i="34"/>
  <c r="N784" i="34"/>
  <c r="S784" i="34"/>
  <c r="T784" i="34"/>
  <c r="U784" i="34"/>
  <c r="Y784" i="34"/>
  <c r="Z784" i="34"/>
  <c r="N785" i="34"/>
  <c r="S785" i="34"/>
  <c r="T785" i="34"/>
  <c r="U785" i="34"/>
  <c r="Y785" i="34"/>
  <c r="Z785" i="34"/>
  <c r="N786" i="34"/>
  <c r="S786" i="34"/>
  <c r="T786" i="34"/>
  <c r="U786" i="34"/>
  <c r="Y786" i="34"/>
  <c r="Z786" i="34"/>
  <c r="N787" i="34"/>
  <c r="S787" i="34"/>
  <c r="T787" i="34"/>
  <c r="U787" i="34"/>
  <c r="Y787" i="34"/>
  <c r="Z787" i="34"/>
  <c r="N788" i="34"/>
  <c r="S788" i="34"/>
  <c r="T788" i="34"/>
  <c r="U788" i="34"/>
  <c r="Y788" i="34"/>
  <c r="Z788" i="34"/>
  <c r="N789" i="34"/>
  <c r="S789" i="34"/>
  <c r="T789" i="34"/>
  <c r="U789" i="34"/>
  <c r="Y789" i="34"/>
  <c r="Z789" i="34"/>
  <c r="N790" i="34"/>
  <c r="S790" i="34"/>
  <c r="T790" i="34"/>
  <c r="U790" i="34"/>
  <c r="Y790" i="34"/>
  <c r="Z790" i="34"/>
  <c r="N791" i="34"/>
  <c r="S791" i="34"/>
  <c r="T791" i="34"/>
  <c r="U791" i="34"/>
  <c r="Y791" i="34"/>
  <c r="Z791" i="34"/>
  <c r="N792" i="34"/>
  <c r="S792" i="34"/>
  <c r="T792" i="34"/>
  <c r="U792" i="34"/>
  <c r="Y792" i="34"/>
  <c r="Z792" i="34"/>
  <c r="N793" i="34"/>
  <c r="S793" i="34"/>
  <c r="T793" i="34"/>
  <c r="U793" i="34"/>
  <c r="Y793" i="34"/>
  <c r="Z793" i="34"/>
  <c r="N794" i="34"/>
  <c r="S794" i="34"/>
  <c r="T794" i="34"/>
  <c r="U794" i="34"/>
  <c r="Y794" i="34"/>
  <c r="Z794" i="34"/>
  <c r="N795" i="34"/>
  <c r="S795" i="34"/>
  <c r="T795" i="34"/>
  <c r="U795" i="34"/>
  <c r="Y795" i="34"/>
  <c r="Z795" i="34"/>
  <c r="N796" i="34"/>
  <c r="S796" i="34"/>
  <c r="T796" i="34"/>
  <c r="U796" i="34"/>
  <c r="Y796" i="34"/>
  <c r="Z796" i="34"/>
  <c r="N797" i="34"/>
  <c r="S797" i="34"/>
  <c r="T797" i="34"/>
  <c r="U797" i="34"/>
  <c r="Y797" i="34"/>
  <c r="Z797" i="34"/>
  <c r="N798" i="34"/>
  <c r="S798" i="34"/>
  <c r="T798" i="34"/>
  <c r="U798" i="34"/>
  <c r="Y798" i="34"/>
  <c r="Z798" i="34"/>
  <c r="N799" i="34"/>
  <c r="S799" i="34"/>
  <c r="T799" i="34"/>
  <c r="U799" i="34"/>
  <c r="Y799" i="34"/>
  <c r="Z799" i="34"/>
  <c r="N800" i="34"/>
  <c r="S800" i="34"/>
  <c r="T800" i="34"/>
  <c r="U800" i="34"/>
  <c r="Y800" i="34"/>
  <c r="Z800" i="34"/>
  <c r="N801" i="34"/>
  <c r="S801" i="34"/>
  <c r="T801" i="34"/>
  <c r="U801" i="34"/>
  <c r="Y801" i="34"/>
  <c r="Z801" i="34"/>
  <c r="N802" i="34"/>
  <c r="S802" i="34"/>
  <c r="T802" i="34"/>
  <c r="U802" i="34"/>
  <c r="Y802" i="34"/>
  <c r="Z802" i="34"/>
  <c r="N803" i="34"/>
  <c r="S803" i="34"/>
  <c r="T803" i="34"/>
  <c r="U803" i="34"/>
  <c r="Y803" i="34"/>
  <c r="Z803" i="34"/>
  <c r="N804" i="34"/>
  <c r="S804" i="34"/>
  <c r="T804" i="34"/>
  <c r="U804" i="34"/>
  <c r="Y804" i="34"/>
  <c r="Z804" i="34"/>
  <c r="N805" i="34"/>
  <c r="S805" i="34"/>
  <c r="T805" i="34"/>
  <c r="U805" i="34"/>
  <c r="Y805" i="34"/>
  <c r="Z805" i="34"/>
  <c r="N806" i="34"/>
  <c r="S806" i="34"/>
  <c r="T806" i="34"/>
  <c r="U806" i="34"/>
  <c r="Y806" i="34"/>
  <c r="Z806" i="34"/>
  <c r="N807" i="34"/>
  <c r="S807" i="34"/>
  <c r="T807" i="34"/>
  <c r="U807" i="34"/>
  <c r="Y807" i="34"/>
  <c r="Z807" i="34"/>
  <c r="N808" i="34"/>
  <c r="S808" i="34"/>
  <c r="T808" i="34"/>
  <c r="U808" i="34"/>
  <c r="Y808" i="34"/>
  <c r="Z808" i="34"/>
  <c r="N809" i="34"/>
  <c r="S809" i="34"/>
  <c r="T809" i="34"/>
  <c r="U809" i="34"/>
  <c r="Y809" i="34"/>
  <c r="Z809" i="34"/>
  <c r="N810" i="34"/>
  <c r="S810" i="34"/>
  <c r="T810" i="34"/>
  <c r="U810" i="34"/>
  <c r="Y810" i="34"/>
  <c r="Z810" i="34"/>
  <c r="N811" i="34"/>
  <c r="S811" i="34"/>
  <c r="T811" i="34"/>
  <c r="U811" i="34"/>
  <c r="Y811" i="34"/>
  <c r="Z811" i="34"/>
  <c r="N812" i="34"/>
  <c r="S812" i="34"/>
  <c r="T812" i="34"/>
  <c r="U812" i="34"/>
  <c r="Y812" i="34"/>
  <c r="Z812" i="34"/>
  <c r="N813" i="34"/>
  <c r="S813" i="34"/>
  <c r="T813" i="34"/>
  <c r="U813" i="34"/>
  <c r="Y813" i="34"/>
  <c r="Z813" i="34"/>
  <c r="N814" i="34"/>
  <c r="S814" i="34"/>
  <c r="T814" i="34"/>
  <c r="U814" i="34"/>
  <c r="Y814" i="34"/>
  <c r="Z814" i="34"/>
  <c r="N815" i="34"/>
  <c r="S815" i="34"/>
  <c r="T815" i="34"/>
  <c r="U815" i="34"/>
  <c r="Y815" i="34"/>
  <c r="Z815" i="34"/>
  <c r="N816" i="34"/>
  <c r="S816" i="34"/>
  <c r="T816" i="34"/>
  <c r="U816" i="34"/>
  <c r="Y816" i="34"/>
  <c r="Z816" i="34"/>
  <c r="N817" i="34"/>
  <c r="S817" i="34"/>
  <c r="T817" i="34"/>
  <c r="U817" i="34"/>
  <c r="Y817" i="34"/>
  <c r="Z817" i="34"/>
  <c r="N818" i="34"/>
  <c r="S818" i="34"/>
  <c r="T818" i="34"/>
  <c r="U818" i="34"/>
  <c r="Y818" i="34"/>
  <c r="Z818" i="34"/>
  <c r="N819" i="34"/>
  <c r="S819" i="34"/>
  <c r="T819" i="34"/>
  <c r="U819" i="34"/>
  <c r="Y819" i="34"/>
  <c r="Z819" i="34"/>
  <c r="N820" i="34"/>
  <c r="S820" i="34"/>
  <c r="T820" i="34"/>
  <c r="U820" i="34"/>
  <c r="Y820" i="34"/>
  <c r="Z820" i="34"/>
  <c r="N821" i="34"/>
  <c r="S821" i="34"/>
  <c r="T821" i="34"/>
  <c r="U821" i="34"/>
  <c r="Y821" i="34"/>
  <c r="Z821" i="34"/>
  <c r="N822" i="34"/>
  <c r="S822" i="34"/>
  <c r="T822" i="34"/>
  <c r="U822" i="34"/>
  <c r="Y822" i="34"/>
  <c r="Z822" i="34"/>
  <c r="N823" i="34"/>
  <c r="S823" i="34"/>
  <c r="T823" i="34"/>
  <c r="U823" i="34"/>
  <c r="Y823" i="34"/>
  <c r="Z823" i="34"/>
  <c r="N824" i="34"/>
  <c r="S824" i="34"/>
  <c r="T824" i="34"/>
  <c r="U824" i="34"/>
  <c r="Y824" i="34"/>
  <c r="Z824" i="34"/>
  <c r="N825" i="34"/>
  <c r="S825" i="34"/>
  <c r="T825" i="34"/>
  <c r="U825" i="34"/>
  <c r="Y825" i="34"/>
  <c r="Z825" i="34"/>
  <c r="N826" i="34"/>
  <c r="S826" i="34"/>
  <c r="T826" i="34"/>
  <c r="U826" i="34"/>
  <c r="Y826" i="34"/>
  <c r="Z826" i="34"/>
  <c r="N827" i="34"/>
  <c r="S827" i="34"/>
  <c r="T827" i="34"/>
  <c r="U827" i="34"/>
  <c r="Y827" i="34"/>
  <c r="Z827" i="34"/>
  <c r="N830" i="34"/>
  <c r="S830" i="34"/>
  <c r="T830" i="34"/>
  <c r="U830" i="34"/>
  <c r="Y830" i="34"/>
  <c r="Z830" i="34"/>
  <c r="N831" i="34"/>
  <c r="S831" i="34"/>
  <c r="T831" i="34"/>
  <c r="U831" i="34"/>
  <c r="Y831" i="34"/>
  <c r="Z831" i="34"/>
  <c r="N832" i="34"/>
  <c r="S832" i="34"/>
  <c r="T832" i="34"/>
  <c r="U832" i="34"/>
  <c r="Y832" i="34"/>
  <c r="Z832" i="34"/>
  <c r="N833" i="34"/>
  <c r="S833" i="34"/>
  <c r="T833" i="34"/>
  <c r="U833" i="34"/>
  <c r="Y833" i="34"/>
  <c r="Z833" i="34"/>
  <c r="N834" i="34"/>
  <c r="S834" i="34"/>
  <c r="T834" i="34"/>
  <c r="U834" i="34"/>
  <c r="Y834" i="34"/>
  <c r="Z834" i="34"/>
  <c r="N835" i="34"/>
  <c r="S835" i="34"/>
  <c r="T835" i="34"/>
  <c r="U835" i="34"/>
  <c r="Y835" i="34"/>
  <c r="Z835" i="34"/>
  <c r="N836" i="34"/>
  <c r="S836" i="34"/>
  <c r="T836" i="34"/>
  <c r="U836" i="34"/>
  <c r="Y836" i="34"/>
  <c r="Z836" i="34"/>
  <c r="N841" i="34"/>
  <c r="S841" i="34"/>
  <c r="T841" i="34"/>
  <c r="U841" i="34"/>
  <c r="Y841" i="34"/>
  <c r="Z841" i="34"/>
  <c r="N842" i="34"/>
  <c r="S842" i="34"/>
  <c r="T842" i="34"/>
  <c r="U842" i="34"/>
  <c r="Y842" i="34"/>
  <c r="Z842" i="34"/>
  <c r="N843" i="34"/>
  <c r="S843" i="34"/>
  <c r="T843" i="34"/>
  <c r="U843" i="34"/>
  <c r="Y843" i="34"/>
  <c r="Z843" i="34"/>
  <c r="N844" i="34"/>
  <c r="S844" i="34"/>
  <c r="T844" i="34"/>
  <c r="U844" i="34"/>
  <c r="Y844" i="34"/>
  <c r="Z844" i="34"/>
  <c r="N845" i="34"/>
  <c r="S845" i="34"/>
  <c r="T845" i="34"/>
  <c r="U845" i="34"/>
  <c r="Y845" i="34"/>
  <c r="Z845" i="34"/>
  <c r="N846" i="34"/>
  <c r="S846" i="34"/>
  <c r="T846" i="34"/>
  <c r="U846" i="34"/>
  <c r="Y846" i="34"/>
  <c r="Z846" i="34"/>
  <c r="N847" i="34"/>
  <c r="S847" i="34"/>
  <c r="T847" i="34"/>
  <c r="U847" i="34"/>
  <c r="Y847" i="34"/>
  <c r="Z847" i="34"/>
  <c r="N848" i="34"/>
  <c r="S848" i="34"/>
  <c r="T848" i="34"/>
  <c r="U848" i="34"/>
  <c r="Y848" i="34"/>
  <c r="Z848" i="34"/>
  <c r="N849" i="34"/>
  <c r="S849" i="34"/>
  <c r="T849" i="34"/>
  <c r="U849" i="34"/>
  <c r="Y849" i="34"/>
  <c r="Z849" i="34"/>
  <c r="N850" i="34"/>
  <c r="S850" i="34"/>
  <c r="T850" i="34"/>
  <c r="U850" i="34"/>
  <c r="Y850" i="34"/>
  <c r="Z850" i="34"/>
  <c r="N851" i="34"/>
  <c r="S851" i="34"/>
  <c r="T851" i="34"/>
  <c r="U851" i="34"/>
  <c r="Y851" i="34"/>
  <c r="Z851" i="34"/>
  <c r="N852" i="34"/>
  <c r="S852" i="34"/>
  <c r="T852" i="34"/>
  <c r="U852" i="34"/>
  <c r="Y852" i="34"/>
  <c r="Z852" i="34"/>
  <c r="N853" i="34"/>
  <c r="S853" i="34"/>
  <c r="T853" i="34"/>
  <c r="U853" i="34"/>
  <c r="Y853" i="34"/>
  <c r="Z853" i="34"/>
  <c r="N854" i="34"/>
  <c r="S854" i="34"/>
  <c r="T854" i="34"/>
  <c r="U854" i="34"/>
  <c r="Y854" i="34"/>
  <c r="Z854" i="34"/>
  <c r="N855" i="34"/>
  <c r="S855" i="34"/>
  <c r="T855" i="34"/>
  <c r="U855" i="34"/>
  <c r="Y855" i="34"/>
  <c r="Z855" i="34"/>
  <c r="N856" i="34"/>
  <c r="S856" i="34"/>
  <c r="T856" i="34"/>
  <c r="U856" i="34"/>
  <c r="Y856" i="34"/>
  <c r="Z856" i="34"/>
  <c r="N857" i="34"/>
  <c r="S857" i="34"/>
  <c r="T857" i="34"/>
  <c r="U857" i="34"/>
  <c r="Y857" i="34"/>
  <c r="Z857" i="34"/>
  <c r="N858" i="34"/>
  <c r="S858" i="34"/>
  <c r="T858" i="34"/>
  <c r="U858" i="34"/>
  <c r="Y858" i="34"/>
  <c r="Z858" i="34"/>
  <c r="N859" i="34"/>
  <c r="S859" i="34"/>
  <c r="T859" i="34"/>
  <c r="U859" i="34"/>
  <c r="Y859" i="34"/>
  <c r="Z859" i="34"/>
  <c r="N860" i="34"/>
  <c r="S860" i="34"/>
  <c r="T860" i="34"/>
  <c r="U860" i="34"/>
  <c r="Y860" i="34"/>
  <c r="Z860" i="34"/>
  <c r="N861" i="34"/>
  <c r="S861" i="34"/>
  <c r="T861" i="34"/>
  <c r="U861" i="34"/>
  <c r="Y861" i="34"/>
  <c r="Z861" i="34"/>
  <c r="N862" i="34"/>
  <c r="S862" i="34"/>
  <c r="T862" i="34"/>
  <c r="U862" i="34"/>
  <c r="Y862" i="34"/>
  <c r="Z862" i="34"/>
  <c r="N863" i="34"/>
  <c r="S863" i="34"/>
  <c r="T863" i="34"/>
  <c r="U863" i="34"/>
  <c r="Y863" i="34"/>
  <c r="Z863" i="34"/>
  <c r="N864" i="34"/>
  <c r="S864" i="34"/>
  <c r="T864" i="34"/>
  <c r="U864" i="34"/>
  <c r="Y864" i="34"/>
  <c r="Z864" i="34"/>
  <c r="N865" i="34"/>
  <c r="S865" i="34"/>
  <c r="T865" i="34"/>
  <c r="U865" i="34"/>
  <c r="Y865" i="34"/>
  <c r="Z865" i="34"/>
  <c r="N866" i="34"/>
  <c r="S866" i="34"/>
  <c r="T866" i="34"/>
  <c r="U866" i="34"/>
  <c r="Y866" i="34"/>
  <c r="Z866" i="34"/>
  <c r="N867" i="34"/>
  <c r="S867" i="34"/>
  <c r="T867" i="34"/>
  <c r="U867" i="34"/>
  <c r="Y867" i="34"/>
  <c r="Z867" i="34"/>
  <c r="N868" i="34"/>
  <c r="S868" i="34"/>
  <c r="T868" i="34"/>
  <c r="U868" i="34"/>
  <c r="Y868" i="34"/>
  <c r="Z868" i="34"/>
  <c r="N871" i="34"/>
  <c r="S871" i="34"/>
  <c r="T871" i="34"/>
  <c r="U871" i="34"/>
  <c r="Y871" i="34"/>
  <c r="Z871" i="34"/>
  <c r="N872" i="34"/>
  <c r="S872" i="34"/>
  <c r="T872" i="34"/>
  <c r="U872" i="34"/>
  <c r="Y872" i="34"/>
  <c r="Z872" i="34"/>
  <c r="N873" i="34"/>
  <c r="S873" i="34"/>
  <c r="T873" i="34"/>
  <c r="U873" i="34"/>
  <c r="Y873" i="34"/>
  <c r="Z873" i="34"/>
  <c r="N874" i="34"/>
  <c r="S874" i="34"/>
  <c r="T874" i="34"/>
  <c r="U874" i="34"/>
  <c r="Y874" i="34"/>
  <c r="Z874" i="34"/>
  <c r="N875" i="34"/>
  <c r="S875" i="34"/>
  <c r="T875" i="34"/>
  <c r="U875" i="34"/>
  <c r="Y875" i="34"/>
  <c r="Z875" i="34"/>
  <c r="N876" i="34"/>
  <c r="S876" i="34"/>
  <c r="T876" i="34"/>
  <c r="U876" i="34"/>
  <c r="Y876" i="34"/>
  <c r="Z876" i="34"/>
  <c r="N881" i="34"/>
  <c r="S881" i="34"/>
  <c r="T881" i="34"/>
  <c r="U881" i="34"/>
  <c r="Y881" i="34"/>
  <c r="Z881" i="34"/>
  <c r="N882" i="34"/>
  <c r="S882" i="34"/>
  <c r="T882" i="34"/>
  <c r="U882" i="34"/>
  <c r="Y882" i="34"/>
  <c r="Z882" i="34"/>
  <c r="N883" i="34"/>
  <c r="S883" i="34"/>
  <c r="T883" i="34"/>
  <c r="U883" i="34"/>
  <c r="Y883" i="34"/>
  <c r="Z883" i="34"/>
  <c r="N884" i="34"/>
  <c r="S884" i="34"/>
  <c r="T884" i="34"/>
  <c r="U884" i="34"/>
  <c r="Y884" i="34"/>
  <c r="Z884" i="34"/>
  <c r="N885" i="34"/>
  <c r="S885" i="34"/>
  <c r="T885" i="34"/>
  <c r="U885" i="34"/>
  <c r="Y885" i="34"/>
  <c r="Z885" i="34"/>
  <c r="N886" i="34"/>
  <c r="S886" i="34"/>
  <c r="T886" i="34"/>
  <c r="U886" i="34"/>
  <c r="Y886" i="34"/>
  <c r="Z886" i="34"/>
  <c r="N887" i="34"/>
  <c r="S887" i="34"/>
  <c r="T887" i="34"/>
  <c r="U887" i="34"/>
  <c r="Y887" i="34"/>
  <c r="Z887" i="34"/>
  <c r="N888" i="34"/>
  <c r="S888" i="34"/>
  <c r="T888" i="34"/>
  <c r="U888" i="34"/>
  <c r="Y888" i="34"/>
  <c r="Z888" i="34"/>
  <c r="N891" i="34"/>
  <c r="S891" i="34"/>
  <c r="T891" i="34"/>
  <c r="U891" i="34"/>
  <c r="Y891" i="34"/>
  <c r="Z891" i="34"/>
  <c r="N892" i="34"/>
  <c r="S892" i="34"/>
  <c r="T892" i="34"/>
  <c r="U892" i="34"/>
  <c r="Y892" i="34"/>
  <c r="Z892" i="34"/>
  <c r="N893" i="34"/>
  <c r="S893" i="34"/>
  <c r="T893" i="34"/>
  <c r="U893" i="34"/>
  <c r="Y893" i="34"/>
  <c r="Z893" i="34"/>
  <c r="N894" i="34"/>
  <c r="S894" i="34"/>
  <c r="T894" i="34"/>
  <c r="U894" i="34"/>
  <c r="Y894" i="34"/>
  <c r="Z894" i="34"/>
  <c r="N895" i="34"/>
  <c r="S895" i="34"/>
  <c r="T895" i="34"/>
  <c r="U895" i="34"/>
  <c r="Y895" i="34"/>
  <c r="Z895" i="34"/>
  <c r="N900" i="34"/>
  <c r="S900" i="34"/>
  <c r="T900" i="34"/>
  <c r="U900" i="34"/>
  <c r="Y900" i="34"/>
  <c r="Z900" i="34"/>
  <c r="N901" i="34"/>
  <c r="S901" i="34"/>
  <c r="T901" i="34"/>
  <c r="U901" i="34"/>
  <c r="Y901" i="34"/>
  <c r="Z901" i="34"/>
  <c r="N902" i="34"/>
  <c r="S902" i="34"/>
  <c r="T902" i="34"/>
  <c r="U902" i="34"/>
  <c r="Y902" i="34"/>
  <c r="Z902" i="34"/>
  <c r="N903" i="34"/>
  <c r="S903" i="34"/>
  <c r="T903" i="34"/>
  <c r="U903" i="34"/>
  <c r="Y903" i="34"/>
  <c r="Z903" i="34"/>
  <c r="N904" i="34"/>
  <c r="S904" i="34"/>
  <c r="T904" i="34"/>
  <c r="U904" i="34"/>
  <c r="Y904" i="34"/>
  <c r="Z904" i="34"/>
  <c r="N905" i="34"/>
  <c r="S905" i="34"/>
  <c r="T905" i="34"/>
  <c r="U905" i="34"/>
  <c r="Y905" i="34"/>
  <c r="Z905" i="34"/>
  <c r="N906" i="34"/>
  <c r="S906" i="34"/>
  <c r="T906" i="34"/>
  <c r="U906" i="34"/>
  <c r="Y906" i="34"/>
  <c r="Z906" i="34"/>
  <c r="N907" i="34"/>
  <c r="S907" i="34"/>
  <c r="T907" i="34"/>
  <c r="U907" i="34"/>
  <c r="Y907" i="34"/>
  <c r="Z907" i="34"/>
  <c r="N908" i="34"/>
  <c r="S908" i="34"/>
  <c r="T908" i="34"/>
  <c r="U908" i="34"/>
  <c r="Y908" i="34"/>
  <c r="Z908" i="34"/>
  <c r="N909" i="34"/>
  <c r="S909" i="34"/>
  <c r="T909" i="34"/>
  <c r="U909" i="34"/>
  <c r="Y909" i="34"/>
  <c r="Z909" i="34"/>
  <c r="N910" i="34"/>
  <c r="S910" i="34"/>
  <c r="T910" i="34"/>
  <c r="U910" i="34"/>
  <c r="Y910" i="34"/>
  <c r="Z910" i="34"/>
  <c r="N911" i="34"/>
  <c r="S911" i="34"/>
  <c r="T911" i="34"/>
  <c r="U911" i="34"/>
  <c r="Y911" i="34"/>
  <c r="Z911" i="34"/>
  <c r="N912" i="34"/>
  <c r="S912" i="34"/>
  <c r="T912" i="34"/>
  <c r="U912" i="34"/>
  <c r="Y912" i="34"/>
  <c r="Z912" i="34"/>
  <c r="N913" i="34"/>
  <c r="S913" i="34"/>
  <c r="T913" i="34"/>
  <c r="U913" i="34"/>
  <c r="Y913" i="34"/>
  <c r="Z913" i="34"/>
  <c r="N914" i="34"/>
  <c r="S914" i="34"/>
  <c r="T914" i="34"/>
  <c r="U914" i="34"/>
  <c r="Y914" i="34"/>
  <c r="Z914" i="34"/>
  <c r="N915" i="34"/>
  <c r="S915" i="34"/>
  <c r="T915" i="34"/>
  <c r="U915" i="34"/>
  <c r="Y915" i="34"/>
  <c r="Z915" i="34"/>
  <c r="N916" i="34"/>
  <c r="S916" i="34"/>
  <c r="T916" i="34"/>
  <c r="U916" i="34"/>
  <c r="Y916" i="34"/>
  <c r="Z916" i="34"/>
  <c r="N917" i="34"/>
  <c r="S917" i="34"/>
  <c r="T917" i="34"/>
  <c r="U917" i="34"/>
  <c r="Y917" i="34"/>
  <c r="Z917" i="34"/>
  <c r="N918" i="34"/>
  <c r="S918" i="34"/>
  <c r="T918" i="34"/>
  <c r="U918" i="34"/>
  <c r="Y918" i="34"/>
  <c r="Z918" i="34"/>
  <c r="N919" i="34"/>
  <c r="S919" i="34"/>
  <c r="T919" i="34"/>
  <c r="U919" i="34"/>
  <c r="Y919" i="34"/>
  <c r="Z919" i="34"/>
  <c r="N920" i="34"/>
  <c r="S920" i="34"/>
  <c r="T920" i="34"/>
  <c r="U920" i="34"/>
  <c r="Y920" i="34"/>
  <c r="Z920" i="34"/>
  <c r="N921" i="34"/>
  <c r="S921" i="34"/>
  <c r="T921" i="34"/>
  <c r="U921" i="34"/>
  <c r="Y921" i="34"/>
  <c r="Z921" i="34"/>
  <c r="N922" i="34"/>
  <c r="S922" i="34"/>
  <c r="T922" i="34"/>
  <c r="U922" i="34"/>
  <c r="Y922" i="34"/>
  <c r="Z922" i="34"/>
  <c r="N923" i="34"/>
  <c r="S923" i="34"/>
  <c r="T923" i="34"/>
  <c r="U923" i="34"/>
  <c r="Y923" i="34"/>
  <c r="Z923" i="34"/>
  <c r="N924" i="34"/>
  <c r="S924" i="34"/>
  <c r="T924" i="34"/>
  <c r="U924" i="34"/>
  <c r="Y924" i="34"/>
  <c r="Z924" i="34"/>
  <c r="N925" i="34"/>
  <c r="S925" i="34"/>
  <c r="T925" i="34"/>
  <c r="U925" i="34"/>
  <c r="Y925" i="34"/>
  <c r="Z925" i="34"/>
  <c r="N926" i="34"/>
  <c r="S926" i="34"/>
  <c r="T926" i="34"/>
  <c r="U926" i="34"/>
  <c r="Y926" i="34"/>
  <c r="Z926" i="34"/>
  <c r="N927" i="34"/>
  <c r="S927" i="34"/>
  <c r="T927" i="34"/>
  <c r="U927" i="34"/>
  <c r="Y927" i="34"/>
  <c r="Z927" i="34"/>
  <c r="N928" i="34"/>
  <c r="S928" i="34"/>
  <c r="T928" i="34"/>
  <c r="U928" i="34"/>
  <c r="Y928" i="34"/>
  <c r="Z928" i="34"/>
  <c r="N929" i="34"/>
  <c r="S929" i="34"/>
  <c r="T929" i="34"/>
  <c r="U929" i="34"/>
  <c r="Y929" i="34"/>
  <c r="Z929" i="34"/>
  <c r="N930" i="34"/>
  <c r="S930" i="34"/>
  <c r="T930" i="34"/>
  <c r="U930" i="34"/>
  <c r="Y930" i="34"/>
  <c r="Z930" i="34"/>
  <c r="N931" i="34"/>
  <c r="S931" i="34"/>
  <c r="T931" i="34"/>
  <c r="U931" i="34"/>
  <c r="Y931" i="34"/>
  <c r="Z931" i="34"/>
  <c r="N932" i="34"/>
  <c r="S932" i="34"/>
  <c r="T932" i="34"/>
  <c r="U932" i="34"/>
  <c r="Y932" i="34"/>
  <c r="Z932" i="34"/>
  <c r="N933" i="34"/>
  <c r="S933" i="34"/>
  <c r="T933" i="34"/>
  <c r="U933" i="34"/>
  <c r="Y933" i="34"/>
  <c r="Z933" i="34"/>
  <c r="N934" i="34"/>
  <c r="S934" i="34"/>
  <c r="T934" i="34"/>
  <c r="U934" i="34"/>
  <c r="Y934" i="34"/>
  <c r="Z934" i="34"/>
  <c r="N935" i="34"/>
  <c r="S935" i="34"/>
  <c r="T935" i="34"/>
  <c r="U935" i="34"/>
  <c r="Y935" i="34"/>
  <c r="Z935" i="34"/>
  <c r="N936" i="34"/>
  <c r="S936" i="34"/>
  <c r="T936" i="34"/>
  <c r="U936" i="34"/>
  <c r="Y936" i="34"/>
  <c r="Z936" i="34"/>
  <c r="N937" i="34"/>
  <c r="S937" i="34"/>
  <c r="T937" i="34"/>
  <c r="U937" i="34"/>
  <c r="Y937" i="34"/>
  <c r="Z937" i="34"/>
  <c r="N938" i="34"/>
  <c r="S938" i="34"/>
  <c r="T938" i="34"/>
  <c r="U938" i="34"/>
  <c r="Y938" i="34"/>
  <c r="Z938" i="34"/>
  <c r="N939" i="34"/>
  <c r="S939" i="34"/>
  <c r="T939" i="34"/>
  <c r="U939" i="34"/>
  <c r="Y939" i="34"/>
  <c r="Z939" i="34"/>
  <c r="N942" i="34"/>
  <c r="S942" i="34"/>
  <c r="T942" i="34"/>
  <c r="U942" i="34"/>
  <c r="Y942" i="34"/>
  <c r="Z942" i="34"/>
  <c r="N943" i="34"/>
  <c r="S943" i="34"/>
  <c r="T943" i="34"/>
  <c r="U943" i="34"/>
  <c r="Y943" i="34"/>
  <c r="Z943" i="34"/>
  <c r="N944" i="34"/>
  <c r="S944" i="34"/>
  <c r="T944" i="34"/>
  <c r="U944" i="34"/>
  <c r="Y944" i="34"/>
  <c r="Z944" i="34"/>
  <c r="N945" i="34"/>
  <c r="S945" i="34"/>
  <c r="T945" i="34"/>
  <c r="U945" i="34"/>
  <c r="Y945" i="34"/>
  <c r="Z945" i="34"/>
  <c r="N946" i="34"/>
  <c r="S946" i="34"/>
  <c r="T946" i="34"/>
  <c r="U946" i="34"/>
  <c r="Y946" i="34"/>
  <c r="Z946" i="34"/>
  <c r="N947" i="34"/>
  <c r="S947" i="34"/>
  <c r="T947" i="34"/>
  <c r="U947" i="34"/>
  <c r="Y947" i="34"/>
  <c r="Z947" i="34"/>
  <c r="N948" i="34"/>
  <c r="S948" i="34"/>
  <c r="T948" i="34"/>
  <c r="U948" i="34"/>
  <c r="Y948" i="34"/>
  <c r="Z948" i="34"/>
  <c r="N949" i="34"/>
  <c r="S949" i="34"/>
  <c r="T949" i="34"/>
  <c r="U949" i="34"/>
  <c r="Y949" i="34"/>
  <c r="Z949" i="34"/>
  <c r="N950" i="34"/>
  <c r="S950" i="34"/>
  <c r="T950" i="34"/>
  <c r="U950" i="34"/>
  <c r="Y950" i="34"/>
  <c r="Z950" i="34"/>
  <c r="N951" i="34"/>
  <c r="S951" i="34"/>
  <c r="T951" i="34"/>
  <c r="U951" i="34"/>
  <c r="Y951" i="34"/>
  <c r="Z951" i="34"/>
  <c r="N952" i="34"/>
  <c r="S952" i="34"/>
  <c r="T952" i="34"/>
  <c r="U952" i="34"/>
  <c r="Y952" i="34"/>
  <c r="Z952" i="34"/>
  <c r="N953" i="34"/>
  <c r="S953" i="34"/>
  <c r="T953" i="34"/>
  <c r="U953" i="34"/>
  <c r="Y953" i="34"/>
  <c r="Z953" i="34"/>
  <c r="N954" i="34"/>
  <c r="S954" i="34"/>
  <c r="T954" i="34"/>
  <c r="U954" i="34"/>
  <c r="Y954" i="34"/>
  <c r="Z954" i="34"/>
  <c r="N955" i="34"/>
  <c r="S955" i="34"/>
  <c r="T955" i="34"/>
  <c r="U955" i="34"/>
  <c r="Y955" i="34"/>
  <c r="Z955" i="34"/>
  <c r="N956" i="34"/>
  <c r="S956" i="34"/>
  <c r="T956" i="34"/>
  <c r="U956" i="34"/>
  <c r="Y956" i="34"/>
  <c r="Z956" i="34"/>
  <c r="N957" i="34"/>
  <c r="S957" i="34"/>
  <c r="T957" i="34"/>
  <c r="U957" i="34"/>
  <c r="Y957" i="34"/>
  <c r="Z957" i="34"/>
  <c r="N958" i="34"/>
  <c r="S958" i="34"/>
  <c r="T958" i="34"/>
  <c r="U958" i="34"/>
  <c r="Y958" i="34"/>
  <c r="Z958" i="34"/>
  <c r="N959" i="34"/>
  <c r="S959" i="34"/>
  <c r="T959" i="34"/>
  <c r="U959" i="34"/>
  <c r="Y959" i="34"/>
  <c r="Z959" i="34"/>
  <c r="N960" i="34"/>
  <c r="S960" i="34"/>
  <c r="T960" i="34"/>
  <c r="U960" i="34"/>
  <c r="Y960" i="34"/>
  <c r="Z960" i="34"/>
  <c r="N961" i="34"/>
  <c r="S961" i="34"/>
  <c r="T961" i="34"/>
  <c r="U961" i="34"/>
  <c r="Y961" i="34"/>
  <c r="Z961" i="34"/>
  <c r="N962" i="34"/>
  <c r="S962" i="34"/>
  <c r="T962" i="34"/>
  <c r="U962" i="34"/>
  <c r="Y962" i="34"/>
  <c r="Z962" i="34"/>
  <c r="N963" i="34"/>
  <c r="S963" i="34"/>
  <c r="T963" i="34"/>
  <c r="U963" i="34"/>
  <c r="Y963" i="34"/>
  <c r="Z963" i="34"/>
  <c r="N964" i="34"/>
  <c r="S964" i="34"/>
  <c r="T964" i="34"/>
  <c r="U964" i="34"/>
  <c r="Y964" i="34"/>
  <c r="Z964" i="34"/>
  <c r="N965" i="34"/>
  <c r="S965" i="34"/>
  <c r="T965" i="34"/>
  <c r="U965" i="34"/>
  <c r="Y965" i="34"/>
  <c r="Z965" i="34"/>
  <c r="N966" i="34"/>
  <c r="S966" i="34"/>
  <c r="T966" i="34"/>
  <c r="U966" i="34"/>
  <c r="Y966" i="34"/>
  <c r="Z966" i="34"/>
  <c r="N967" i="34"/>
  <c r="S967" i="34"/>
  <c r="T967" i="34"/>
  <c r="U967" i="34"/>
  <c r="Y967" i="34"/>
  <c r="Z967" i="34"/>
  <c r="N968" i="34"/>
  <c r="S968" i="34"/>
  <c r="T968" i="34"/>
  <c r="U968" i="34"/>
  <c r="Y968" i="34"/>
  <c r="Z968" i="34"/>
  <c r="N969" i="34"/>
  <c r="S969" i="34"/>
  <c r="T969" i="34"/>
  <c r="U969" i="34"/>
  <c r="Y969" i="34"/>
  <c r="Z969" i="34"/>
  <c r="N970" i="34"/>
  <c r="S970" i="34"/>
  <c r="T970" i="34"/>
  <c r="U970" i="34"/>
  <c r="Y970" i="34"/>
  <c r="Z970" i="34"/>
  <c r="N971" i="34"/>
  <c r="S971" i="34"/>
  <c r="T971" i="34"/>
  <c r="U971" i="34"/>
  <c r="Y971" i="34"/>
  <c r="Z971" i="34"/>
  <c r="N972" i="34"/>
  <c r="S972" i="34"/>
  <c r="T972" i="34"/>
  <c r="U972" i="34"/>
  <c r="Y972" i="34"/>
  <c r="Z972" i="34"/>
  <c r="N973" i="34"/>
  <c r="S973" i="34"/>
  <c r="T973" i="34"/>
  <c r="U973" i="34"/>
  <c r="Y973" i="34"/>
  <c r="Z973" i="34"/>
  <c r="F31" i="55"/>
  <c r="F32" i="55" s="1"/>
  <c r="R204" i="60" l="1"/>
  <c r="J245" i="60"/>
  <c r="B153" i="55"/>
  <c r="A152" i="55"/>
  <c r="R207" i="60" l="1"/>
  <c r="A153" i="55"/>
  <c r="B154" i="55"/>
  <c r="K152" i="60" l="1"/>
  <c r="K168" i="60"/>
  <c r="K184" i="60"/>
  <c r="K200" i="60"/>
  <c r="K216" i="60"/>
  <c r="K232" i="60"/>
  <c r="K149" i="60"/>
  <c r="K165" i="60"/>
  <c r="K181" i="60"/>
  <c r="K197" i="60"/>
  <c r="K213" i="60"/>
  <c r="K229" i="60"/>
  <c r="K150" i="60"/>
  <c r="K166" i="60"/>
  <c r="K182" i="60"/>
  <c r="K198" i="60"/>
  <c r="K214" i="60"/>
  <c r="K230" i="60"/>
  <c r="K151" i="60"/>
  <c r="K167" i="60"/>
  <c r="K183" i="60"/>
  <c r="K199" i="60"/>
  <c r="K215" i="60"/>
  <c r="K231" i="60"/>
  <c r="K140" i="60"/>
  <c r="K156" i="60"/>
  <c r="K172" i="60"/>
  <c r="K188" i="60"/>
  <c r="K204" i="60"/>
  <c r="K220" i="60"/>
  <c r="K236" i="60"/>
  <c r="K153" i="60"/>
  <c r="K169" i="60"/>
  <c r="K185" i="60"/>
  <c r="K201" i="60"/>
  <c r="K217" i="60"/>
  <c r="K233" i="60"/>
  <c r="K154" i="60"/>
  <c r="K170" i="60"/>
  <c r="K186" i="60"/>
  <c r="K202" i="60"/>
  <c r="K218" i="60"/>
  <c r="K234" i="60"/>
  <c r="K155" i="60"/>
  <c r="K171" i="60"/>
  <c r="K187" i="60"/>
  <c r="K203" i="60"/>
  <c r="K219" i="60"/>
  <c r="K235" i="60"/>
  <c r="K139" i="60"/>
  <c r="K144" i="60"/>
  <c r="K160" i="60"/>
  <c r="K176" i="60"/>
  <c r="K192" i="60"/>
  <c r="K208" i="60"/>
  <c r="K224" i="60"/>
  <c r="K240" i="60"/>
  <c r="K141" i="60"/>
  <c r="K157" i="60"/>
  <c r="K173" i="60"/>
  <c r="K189" i="60"/>
  <c r="K205" i="60"/>
  <c r="K221" i="60"/>
  <c r="K237" i="60"/>
  <c r="K142" i="60"/>
  <c r="K158" i="60"/>
  <c r="K174" i="60"/>
  <c r="K190" i="60"/>
  <c r="K206" i="60"/>
  <c r="K222" i="60"/>
  <c r="K238" i="60"/>
  <c r="K143" i="60"/>
  <c r="K159" i="60"/>
  <c r="K175" i="60"/>
  <c r="K191" i="60"/>
  <c r="K207" i="60"/>
  <c r="K223" i="60"/>
  <c r="K239" i="60"/>
  <c r="K148" i="60"/>
  <c r="K164" i="60"/>
  <c r="K180" i="60"/>
  <c r="K196" i="60"/>
  <c r="K212" i="60"/>
  <c r="K228" i="60"/>
  <c r="K145" i="60"/>
  <c r="K161" i="60"/>
  <c r="K177" i="60"/>
  <c r="K193" i="60"/>
  <c r="K209" i="60"/>
  <c r="K225" i="60"/>
  <c r="K241" i="60"/>
  <c r="K146" i="60"/>
  <c r="K162" i="60"/>
  <c r="K178" i="60"/>
  <c r="K194" i="60"/>
  <c r="K210" i="60"/>
  <c r="K226" i="60"/>
  <c r="K242" i="60"/>
  <c r="K147" i="60"/>
  <c r="K163" i="60"/>
  <c r="K179" i="60"/>
  <c r="K195" i="60"/>
  <c r="K211" i="60"/>
  <c r="K227" i="60"/>
  <c r="K243" i="60"/>
  <c r="B155" i="55"/>
  <c r="A154" i="55"/>
  <c r="G16" i="55" l="1" a="1"/>
  <c r="G16" i="55" s="1"/>
  <c r="G15" i="55" a="1"/>
  <c r="G15" i="55" s="1"/>
  <c r="I16" i="55" a="1"/>
  <c r="I16" i="55" s="1"/>
  <c r="I15" i="55" a="1"/>
  <c r="I15" i="55" s="1"/>
  <c r="I89" i="55" a="1"/>
  <c r="I89" i="55" s="1"/>
  <c r="I199" i="55" a="1"/>
  <c r="I199" i="55" s="1"/>
  <c r="I193" i="55" a="1"/>
  <c r="I193" i="55" s="1"/>
  <c r="I132" i="55" a="1"/>
  <c r="I132" i="55" s="1"/>
  <c r="I183" i="55" a="1"/>
  <c r="I183" i="55" s="1"/>
  <c r="I44" i="55" a="1"/>
  <c r="I44" i="55" s="1"/>
  <c r="I96" i="55" a="1"/>
  <c r="I96" i="55" s="1"/>
  <c r="I204" i="55" a="1"/>
  <c r="I204" i="55" s="1"/>
  <c r="I94" i="55" a="1"/>
  <c r="I94" i="55" s="1"/>
  <c r="I198" i="55" a="1"/>
  <c r="I198" i="55" s="1"/>
  <c r="I190" i="55" a="1"/>
  <c r="I190" i="55" s="1"/>
  <c r="I76" i="55" a="1"/>
  <c r="I76" i="55" s="1"/>
  <c r="I159" i="55" a="1"/>
  <c r="I159" i="55" s="1"/>
  <c r="I174" i="55" a="1"/>
  <c r="I174" i="55" s="1"/>
  <c r="I99" i="55" a="1"/>
  <c r="I99" i="55" s="1"/>
  <c r="I65" i="55" a="1"/>
  <c r="I65" i="55" s="1"/>
  <c r="I188" i="55" a="1"/>
  <c r="I188" i="55" s="1"/>
  <c r="I173" i="55" a="1"/>
  <c r="I173" i="55" s="1"/>
  <c r="I101" i="55" a="1"/>
  <c r="I101" i="55" s="1"/>
  <c r="I149" i="55" a="1"/>
  <c r="I149" i="55" s="1"/>
  <c r="I117" i="55" a="1"/>
  <c r="I117" i="55" s="1"/>
  <c r="I128" i="55" a="1"/>
  <c r="I128" i="55" s="1"/>
  <c r="I129" i="55" a="1"/>
  <c r="I129" i="55" s="1"/>
  <c r="I208" i="55" a="1"/>
  <c r="I208" i="55" s="1"/>
  <c r="G48" i="55" a="1"/>
  <c r="G48" i="55" s="1"/>
  <c r="G214" i="55" a="1"/>
  <c r="G214" i="55" s="1"/>
  <c r="G177" i="55" a="1"/>
  <c r="G177" i="55" s="1"/>
  <c r="G67" i="55" a="1"/>
  <c r="G67" i="55" s="1"/>
  <c r="G121" i="55" a="1"/>
  <c r="G121" i="55" s="1"/>
  <c r="G146" i="55" a="1"/>
  <c r="G146" i="55" s="1"/>
  <c r="G50" i="55" a="1"/>
  <c r="G50" i="55" s="1"/>
  <c r="G97" i="55" a="1"/>
  <c r="G97" i="55" s="1"/>
  <c r="G55" i="55" a="1"/>
  <c r="G55" i="55" s="1"/>
  <c r="G157" i="55" a="1"/>
  <c r="G157" i="55" s="1"/>
  <c r="G52" i="55" a="1"/>
  <c r="G52" i="55" s="1"/>
  <c r="G141" i="55" a="1"/>
  <c r="G141" i="55" s="1"/>
  <c r="G194" i="55" a="1"/>
  <c r="G194" i="55" s="1"/>
  <c r="G191" i="55" a="1"/>
  <c r="G191" i="55" s="1"/>
  <c r="G213" i="55" a="1"/>
  <c r="G213" i="55" s="1"/>
  <c r="G105" i="55" a="1"/>
  <c r="G105" i="55" s="1"/>
  <c r="G104" i="55" a="1"/>
  <c r="G104" i="55" s="1"/>
  <c r="G125" i="55" a="1"/>
  <c r="G125" i="55" s="1"/>
  <c r="G92" i="55" a="1"/>
  <c r="G92" i="55" s="1"/>
  <c r="G77" i="55" a="1"/>
  <c r="G77" i="55" s="1"/>
  <c r="G203" i="55" a="1"/>
  <c r="G203" i="55" s="1"/>
  <c r="G210" i="55" a="1"/>
  <c r="G210" i="55" s="1"/>
  <c r="G100" i="55" a="1"/>
  <c r="G100" i="55" s="1"/>
  <c r="G133" i="55" a="1"/>
  <c r="G133" i="55" s="1"/>
  <c r="G161" i="55" a="1"/>
  <c r="G161" i="55" s="1"/>
  <c r="G45" i="55" a="1"/>
  <c r="G45" i="55" s="1"/>
  <c r="G134" i="55" a="1"/>
  <c r="G134" i="55" s="1"/>
  <c r="G54" i="55" a="1"/>
  <c r="G54" i="55" s="1"/>
  <c r="I48" i="55" a="1"/>
  <c r="I48" i="55" s="1"/>
  <c r="I214" i="55" a="1"/>
  <c r="I214" i="55" s="1"/>
  <c r="I177" i="55" a="1"/>
  <c r="I177" i="55" s="1"/>
  <c r="I50" i="55" a="1"/>
  <c r="I50" i="55" s="1"/>
  <c r="I97" i="55" a="1"/>
  <c r="I97" i="55" s="1"/>
  <c r="I55" i="55" a="1"/>
  <c r="I55" i="55" s="1"/>
  <c r="I157" i="55" a="1"/>
  <c r="I157" i="55" s="1"/>
  <c r="I52" i="55" a="1"/>
  <c r="I52" i="55" s="1"/>
  <c r="I141" i="55" a="1"/>
  <c r="I141" i="55" s="1"/>
  <c r="I194" i="55" a="1"/>
  <c r="I194" i="55" s="1"/>
  <c r="I191" i="55" a="1"/>
  <c r="I191" i="55" s="1"/>
  <c r="I213" i="55" a="1"/>
  <c r="I213" i="55" s="1"/>
  <c r="I105" i="55" a="1"/>
  <c r="I105" i="55" s="1"/>
  <c r="I104" i="55" a="1"/>
  <c r="I104" i="55" s="1"/>
  <c r="I125" i="55" a="1"/>
  <c r="I125" i="55" s="1"/>
  <c r="I92" i="55" a="1"/>
  <c r="I92" i="55" s="1"/>
  <c r="I77" i="55" a="1"/>
  <c r="I77" i="55" s="1"/>
  <c r="I203" i="55" a="1"/>
  <c r="I203" i="55" s="1"/>
  <c r="I210" i="55" a="1"/>
  <c r="I210" i="55" s="1"/>
  <c r="I100" i="55" a="1"/>
  <c r="I100" i="55" s="1"/>
  <c r="I133" i="55" a="1"/>
  <c r="I133" i="55" s="1"/>
  <c r="I161" i="55" a="1"/>
  <c r="I161" i="55" s="1"/>
  <c r="I45" i="55" a="1"/>
  <c r="I45" i="55" s="1"/>
  <c r="I134" i="55" a="1"/>
  <c r="I134" i="55" s="1"/>
  <c r="I54" i="55" a="1"/>
  <c r="I54" i="55" s="1"/>
  <c r="G60" i="55" a="1"/>
  <c r="G60" i="55" s="1"/>
  <c r="G89" i="55" a="1"/>
  <c r="G89" i="55" s="1"/>
  <c r="K89" i="55" s="1"/>
  <c r="G199" i="55" a="1"/>
  <c r="G199" i="55" s="1"/>
  <c r="K199" i="55" s="1"/>
  <c r="G193" i="55" a="1"/>
  <c r="G193" i="55" s="1"/>
  <c r="G132" i="55" a="1"/>
  <c r="G132" i="55" s="1"/>
  <c r="G183" i="55" a="1"/>
  <c r="G183" i="55" s="1"/>
  <c r="G44" i="55" a="1"/>
  <c r="G44" i="55" s="1"/>
  <c r="K44" i="55" s="1"/>
  <c r="G96" i="55" a="1"/>
  <c r="G96" i="55" s="1"/>
  <c r="G204" i="55" a="1"/>
  <c r="G204" i="55" s="1"/>
  <c r="G94" i="55" a="1"/>
  <c r="G94" i="55" s="1"/>
  <c r="K94" i="55" s="1"/>
  <c r="G198" i="55" a="1"/>
  <c r="G198" i="55" s="1"/>
  <c r="G190" i="55" a="1"/>
  <c r="G190" i="55" s="1"/>
  <c r="G76" i="55" a="1"/>
  <c r="G76" i="55" s="1"/>
  <c r="G159" i="55" a="1"/>
  <c r="G159" i="55" s="1"/>
  <c r="G174" i="55" a="1"/>
  <c r="G174" i="55" s="1"/>
  <c r="G99" i="55" a="1"/>
  <c r="G99" i="55" s="1"/>
  <c r="G65" i="55" a="1"/>
  <c r="G65" i="55" s="1"/>
  <c r="G188" i="55" a="1"/>
  <c r="G188" i="55" s="1"/>
  <c r="G173" i="55" a="1"/>
  <c r="G173" i="55" s="1"/>
  <c r="K173" i="55" s="1"/>
  <c r="G101" i="55" a="1"/>
  <c r="G101" i="55" s="1"/>
  <c r="G149" i="55" a="1"/>
  <c r="G149" i="55" s="1"/>
  <c r="G117" i="55" a="1"/>
  <c r="G117" i="55" s="1"/>
  <c r="K117" i="55" s="1"/>
  <c r="G128" i="55" a="1"/>
  <c r="G128" i="55" s="1"/>
  <c r="K128" i="55" s="1"/>
  <c r="G129" i="55" a="1"/>
  <c r="G129" i="55" s="1"/>
  <c r="G208" i="55" a="1"/>
  <c r="G208" i="55" s="1"/>
  <c r="I60" i="55" a="1"/>
  <c r="I60" i="55" s="1"/>
  <c r="I79" i="55" a="1"/>
  <c r="I79" i="55" s="1"/>
  <c r="I121" i="55" a="1"/>
  <c r="I121" i="55" s="1"/>
  <c r="I146" i="55" a="1"/>
  <c r="I146" i="55" s="1"/>
  <c r="I156" i="55" a="1"/>
  <c r="I156" i="55" s="1"/>
  <c r="I123" i="55" a="1"/>
  <c r="I123" i="55" s="1"/>
  <c r="I137" i="55" a="1"/>
  <c r="I137" i="55" s="1"/>
  <c r="I53" i="55" a="1"/>
  <c r="I53" i="55" s="1"/>
  <c r="I69" i="55" a="1"/>
  <c r="I69" i="55" s="1"/>
  <c r="I181" i="55" a="1"/>
  <c r="I181" i="55" s="1"/>
  <c r="I83" i="55" a="1"/>
  <c r="I83" i="55" s="1"/>
  <c r="I142" i="55" a="1"/>
  <c r="I142" i="55" s="1"/>
  <c r="I111" i="55" a="1"/>
  <c r="I111" i="55" s="1"/>
  <c r="I119" i="55" a="1"/>
  <c r="I119" i="55" s="1"/>
  <c r="I120" i="55" a="1"/>
  <c r="I120" i="55" s="1"/>
  <c r="I148" i="55" a="1"/>
  <c r="I148" i="55" s="1"/>
  <c r="I171" i="55" a="1"/>
  <c r="I171" i="55" s="1"/>
  <c r="I66" i="55" a="1"/>
  <c r="I66" i="55" s="1"/>
  <c r="I145" i="55" a="1"/>
  <c r="I145" i="55" s="1"/>
  <c r="I209" i="55" a="1"/>
  <c r="I209" i="55" s="1"/>
  <c r="G46" i="55" a="1"/>
  <c r="G46" i="55" s="1"/>
  <c r="G116" i="55" a="1"/>
  <c r="G116" i="55" s="1"/>
  <c r="I67" i="55" a="1"/>
  <c r="I67" i="55" s="1"/>
  <c r="G82" i="55" a="1"/>
  <c r="G82" i="55" s="1"/>
  <c r="G108" i="55" a="1"/>
  <c r="G108" i="55" s="1"/>
  <c r="G102" i="55" a="1"/>
  <c r="G102" i="55" s="1"/>
  <c r="G95" i="55" a="1"/>
  <c r="G95" i="55" s="1"/>
  <c r="G84" i="55" a="1"/>
  <c r="G84" i="55" s="1"/>
  <c r="G168" i="55" a="1"/>
  <c r="G168" i="55" s="1"/>
  <c r="G187" i="55" a="1"/>
  <c r="G187" i="55" s="1"/>
  <c r="G91" i="55" a="1"/>
  <c r="G91" i="55" s="1"/>
  <c r="G178" i="55" a="1"/>
  <c r="G178" i="55" s="1"/>
  <c r="G150" i="55" a="1"/>
  <c r="G150" i="55" s="1"/>
  <c r="I82" i="55" a="1"/>
  <c r="I82" i="55" s="1"/>
  <c r="G127" i="55" a="1"/>
  <c r="G127" i="55" s="1"/>
  <c r="I108" i="55" a="1"/>
  <c r="I108" i="55" s="1"/>
  <c r="I102" i="55" a="1"/>
  <c r="I102" i="55" s="1"/>
  <c r="I95" i="55" a="1"/>
  <c r="I95" i="55" s="1"/>
  <c r="I84" i="55" a="1"/>
  <c r="I84" i="55" s="1"/>
  <c r="I168" i="55" a="1"/>
  <c r="I168" i="55" s="1"/>
  <c r="I187" i="55" a="1"/>
  <c r="I187" i="55" s="1"/>
  <c r="I91" i="55" a="1"/>
  <c r="I91" i="55" s="1"/>
  <c r="I46" i="55" a="1"/>
  <c r="I46" i="55" s="1"/>
  <c r="I178" i="55" a="1"/>
  <c r="I178" i="55" s="1"/>
  <c r="I116" i="55" a="1"/>
  <c r="I116" i="55" s="1"/>
  <c r="I143" i="55" a="1"/>
  <c r="I143" i="55" s="1"/>
  <c r="I80" i="55" a="1"/>
  <c r="I80" i="55" s="1"/>
  <c r="I110" i="55" a="1"/>
  <c r="I110" i="55" s="1"/>
  <c r="I205" i="55" a="1"/>
  <c r="I205" i="55" s="1"/>
  <c r="I130" i="55" a="1"/>
  <c r="I130" i="55" s="1"/>
  <c r="I212" i="55" a="1"/>
  <c r="I212" i="55" s="1"/>
  <c r="I175" i="55" a="1"/>
  <c r="I175" i="55" s="1"/>
  <c r="I135" i="55" a="1"/>
  <c r="I135" i="55" s="1"/>
  <c r="I112" i="55" a="1"/>
  <c r="I112" i="55" s="1"/>
  <c r="G79" i="55" a="1"/>
  <c r="G79" i="55" s="1"/>
  <c r="I150" i="55" a="1"/>
  <c r="I150" i="55" s="1"/>
  <c r="I127" i="55" a="1"/>
  <c r="I127" i="55" s="1"/>
  <c r="G156" i="55" a="1"/>
  <c r="G156" i="55" s="1"/>
  <c r="G123" i="55" a="1"/>
  <c r="G123" i="55" s="1"/>
  <c r="G137" i="55" a="1"/>
  <c r="G137" i="55" s="1"/>
  <c r="K137" i="55" s="1"/>
  <c r="G53" i="55" a="1"/>
  <c r="G53" i="55" s="1"/>
  <c r="G69" i="55" a="1"/>
  <c r="G69" i="55" s="1"/>
  <c r="G181" i="55" a="1"/>
  <c r="G181" i="55" s="1"/>
  <c r="G83" i="55" a="1"/>
  <c r="G83" i="55" s="1"/>
  <c r="K83" i="55" s="1"/>
  <c r="G142" i="55" a="1"/>
  <c r="G142" i="55" s="1"/>
  <c r="G111" i="55" a="1"/>
  <c r="G111" i="55" s="1"/>
  <c r="G119" i="55" a="1"/>
  <c r="G119" i="55" s="1"/>
  <c r="G120" i="55" a="1"/>
  <c r="G120" i="55" s="1"/>
  <c r="G148" i="55" a="1"/>
  <c r="G148" i="55" s="1"/>
  <c r="G171" i="55" a="1"/>
  <c r="G171" i="55" s="1"/>
  <c r="G66" i="55" a="1"/>
  <c r="G66" i="55" s="1"/>
  <c r="G145" i="55" a="1"/>
  <c r="G145" i="55" s="1"/>
  <c r="K145" i="55" s="1"/>
  <c r="G209" i="55" a="1"/>
  <c r="G209" i="55" s="1"/>
  <c r="G143" i="55" a="1"/>
  <c r="G143" i="55" s="1"/>
  <c r="G205" i="55" a="1"/>
  <c r="G205" i="55" s="1"/>
  <c r="G130" i="55" a="1"/>
  <c r="G130" i="55" s="1"/>
  <c r="G112" i="55" a="1"/>
  <c r="G112" i="55" s="1"/>
  <c r="G152" i="55" a="1"/>
  <c r="G152" i="55" s="1"/>
  <c r="I152" i="55" a="1"/>
  <c r="I152" i="55" s="1"/>
  <c r="G80" i="55" a="1"/>
  <c r="G80" i="55" s="1"/>
  <c r="G212" i="55" a="1"/>
  <c r="G212" i="55" s="1"/>
  <c r="G110" i="55" a="1"/>
  <c r="G110" i="55" s="1"/>
  <c r="G175" i="55" a="1"/>
  <c r="G175" i="55" s="1"/>
  <c r="G135" i="55" a="1"/>
  <c r="G135" i="55" s="1"/>
  <c r="A155" i="55"/>
  <c r="B156" i="55"/>
  <c r="K101" i="55" l="1"/>
  <c r="K99" i="55"/>
  <c r="K190" i="55"/>
  <c r="K69" i="55"/>
  <c r="K156" i="55"/>
  <c r="K129" i="55"/>
  <c r="K65" i="55"/>
  <c r="K76" i="55"/>
  <c r="K175" i="55"/>
  <c r="K205" i="55"/>
  <c r="K66" i="55"/>
  <c r="K119" i="55"/>
  <c r="K181" i="55"/>
  <c r="K79" i="55"/>
  <c r="K110" i="55"/>
  <c r="K80" i="55"/>
  <c r="K111" i="55"/>
  <c r="K142" i="55"/>
  <c r="K53" i="55"/>
  <c r="K123" i="55"/>
  <c r="K209" i="55"/>
  <c r="K120" i="55"/>
  <c r="K208" i="55"/>
  <c r="K159" i="55"/>
  <c r="K198" i="55"/>
  <c r="K96" i="55"/>
  <c r="K132" i="55"/>
  <c r="K149" i="55"/>
  <c r="K188" i="55"/>
  <c r="K174" i="55"/>
  <c r="K204" i="55"/>
  <c r="K183" i="55"/>
  <c r="K193" i="55"/>
  <c r="K171" i="55"/>
  <c r="K148" i="55"/>
  <c r="K135" i="55"/>
  <c r="K112" i="55"/>
  <c r="K130" i="55"/>
  <c r="K16" i="55"/>
  <c r="K15" i="55"/>
  <c r="K212" i="55"/>
  <c r="K168" i="55"/>
  <c r="K108" i="55"/>
  <c r="K54" i="55"/>
  <c r="K77" i="55"/>
  <c r="K104" i="55"/>
  <c r="K191" i="55"/>
  <c r="K194" i="55"/>
  <c r="K55" i="55"/>
  <c r="K67" i="55"/>
  <c r="K177" i="55"/>
  <c r="K127" i="55"/>
  <c r="K84" i="55"/>
  <c r="K102" i="55"/>
  <c r="K116" i="55"/>
  <c r="K210" i="55"/>
  <c r="K92" i="55"/>
  <c r="K105" i="55"/>
  <c r="K141" i="55"/>
  <c r="K97" i="55"/>
  <c r="K152" i="55"/>
  <c r="K178" i="55"/>
  <c r="K91" i="55"/>
  <c r="K95" i="55"/>
  <c r="K82" i="55"/>
  <c r="K60" i="55"/>
  <c r="K134" i="55"/>
  <c r="K45" i="55"/>
  <c r="K133" i="55"/>
  <c r="K125" i="55"/>
  <c r="K52" i="55"/>
  <c r="K50" i="55"/>
  <c r="K214" i="55"/>
  <c r="K143" i="55"/>
  <c r="K150" i="55"/>
  <c r="K187" i="55"/>
  <c r="K46" i="55"/>
  <c r="K161" i="55"/>
  <c r="K100" i="55"/>
  <c r="K203" i="55"/>
  <c r="K213" i="55"/>
  <c r="K157" i="55"/>
  <c r="K146" i="55"/>
  <c r="K121" i="55"/>
  <c r="K48" i="55"/>
  <c r="B157" i="55"/>
  <c r="A156" i="55"/>
  <c r="A157" i="55" l="1"/>
  <c r="B158" i="55"/>
  <c r="B159" i="55" l="1"/>
  <c r="A159" i="55" s="1"/>
  <c r="A158" i="55"/>
  <c r="I7" i="12"/>
  <c r="I8" i="12"/>
  <c r="I9" i="12"/>
  <c r="I10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C2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34" i="60" l="1"/>
  <c r="K14" i="34" l="1"/>
  <c r="C14" i="34"/>
  <c r="B14" i="34" s="1"/>
  <c r="P14" i="34" s="1"/>
  <c r="A14" i="34" l="1"/>
  <c r="AA14" i="34"/>
  <c r="X14" i="34"/>
  <c r="Q14" i="34"/>
  <c r="R14" i="34"/>
  <c r="V14" i="34"/>
  <c r="E23" i="54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955" i="34" l="1"/>
  <c r="P955" i="34" l="1"/>
  <c r="A955" i="34"/>
  <c r="R955" i="34"/>
  <c r="V955" i="34"/>
  <c r="AA955" i="34"/>
  <c r="X955" i="34"/>
  <c r="Q955" i="34"/>
  <c r="A29" i="70"/>
  <c r="B401" i="34"/>
  <c r="P401" i="34" l="1"/>
  <c r="A401" i="34"/>
  <c r="Q401" i="34"/>
  <c r="R401" i="34"/>
  <c r="V401" i="34"/>
  <c r="AA401" i="34"/>
  <c r="X401" i="34"/>
  <c r="B291" i="34"/>
  <c r="B290" i="34"/>
  <c r="B302" i="34"/>
  <c r="B301" i="34"/>
  <c r="B300" i="34"/>
  <c r="B299" i="34"/>
  <c r="B298" i="34"/>
  <c r="B297" i="34"/>
  <c r="B296" i="34"/>
  <c r="B289" i="34"/>
  <c r="B288" i="34"/>
  <c r="B287" i="34"/>
  <c r="B286" i="34"/>
  <c r="B285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B264" i="34"/>
  <c r="B263" i="34"/>
  <c r="B262" i="34"/>
  <c r="B261" i="34"/>
  <c r="B260" i="34"/>
  <c r="B259" i="34"/>
  <c r="B416" i="34"/>
  <c r="B415" i="34"/>
  <c r="B414" i="34"/>
  <c r="B898" i="34"/>
  <c r="B897" i="34"/>
  <c r="B896" i="34"/>
  <c r="B890" i="34"/>
  <c r="B889" i="34"/>
  <c r="B880" i="34"/>
  <c r="B879" i="34"/>
  <c r="B878" i="34"/>
  <c r="B877" i="34"/>
  <c r="B870" i="34"/>
  <c r="B869" i="34"/>
  <c r="B840" i="34"/>
  <c r="B839" i="34"/>
  <c r="B838" i="34"/>
  <c r="B837" i="34"/>
  <c r="B829" i="34"/>
  <c r="B828" i="34"/>
  <c r="B779" i="34"/>
  <c r="B778" i="34"/>
  <c r="B777" i="34"/>
  <c r="B776" i="34"/>
  <c r="B773" i="34"/>
  <c r="B772" i="34"/>
  <c r="B771" i="34"/>
  <c r="B770" i="34"/>
  <c r="B769" i="34"/>
  <c r="B768" i="34"/>
  <c r="B766" i="34"/>
  <c r="B765" i="34"/>
  <c r="B764" i="34"/>
  <c r="B763" i="34"/>
  <c r="B767" i="34"/>
  <c r="B762" i="34"/>
  <c r="B761" i="34"/>
  <c r="B760" i="34"/>
  <c r="B721" i="34"/>
  <c r="B720" i="34"/>
  <c r="B719" i="34"/>
  <c r="B718" i="34"/>
  <c r="B717" i="34"/>
  <c r="B716" i="34"/>
  <c r="B715" i="34"/>
  <c r="B714" i="34"/>
  <c r="B713" i="34"/>
  <c r="B705" i="34"/>
  <c r="B703" i="34"/>
  <c r="B702" i="34"/>
  <c r="B701" i="34"/>
  <c r="B700" i="34"/>
  <c r="B699" i="34"/>
  <c r="B698" i="34"/>
  <c r="B697" i="34"/>
  <c r="B696" i="34"/>
  <c r="B689" i="34"/>
  <c r="B688" i="34"/>
  <c r="B687" i="34"/>
  <c r="B686" i="34"/>
  <c r="B685" i="34"/>
  <c r="B684" i="34"/>
  <c r="B683" i="34"/>
  <c r="B682" i="34"/>
  <c r="B681" i="34"/>
  <c r="B680" i="34"/>
  <c r="B679" i="34"/>
  <c r="B676" i="34"/>
  <c r="B675" i="34"/>
  <c r="B674" i="34"/>
  <c r="B673" i="34"/>
  <c r="B670" i="34"/>
  <c r="B669" i="34"/>
  <c r="B668" i="34"/>
  <c r="B663" i="34"/>
  <c r="B406" i="34"/>
  <c r="B405" i="34"/>
  <c r="B404" i="34"/>
  <c r="B403" i="34"/>
  <c r="B402" i="34"/>
  <c r="B940" i="34"/>
  <c r="B899" i="34"/>
  <c r="B743" i="34"/>
  <c r="B742" i="34"/>
  <c r="B741" i="34"/>
  <c r="B740" i="34"/>
  <c r="B739" i="34"/>
  <c r="B738" i="34"/>
  <c r="B737" i="34"/>
  <c r="B736" i="34"/>
  <c r="B735" i="34"/>
  <c r="B734" i="34"/>
  <c r="B733" i="34"/>
  <c r="B732" i="34"/>
  <c r="B731" i="34"/>
  <c r="B730" i="34"/>
  <c r="B729" i="34"/>
  <c r="B728" i="34"/>
  <c r="B727" i="34"/>
  <c r="B726" i="34"/>
  <c r="B725" i="34"/>
  <c r="B724" i="34"/>
  <c r="B723" i="34"/>
  <c r="B722" i="34"/>
  <c r="B710" i="34"/>
  <c r="B709" i="34"/>
  <c r="B708" i="34"/>
  <c r="B707" i="34"/>
  <c r="B706" i="34"/>
  <c r="B960" i="34"/>
  <c r="B959" i="34"/>
  <c r="B756" i="34"/>
  <c r="B755" i="34"/>
  <c r="B754" i="34"/>
  <c r="B753" i="34"/>
  <c r="B752" i="34"/>
  <c r="B751" i="34"/>
  <c r="B750" i="34"/>
  <c r="B747" i="34"/>
  <c r="B746" i="34"/>
  <c r="B745" i="34"/>
  <c r="B744" i="34"/>
  <c r="AA276" i="34" l="1"/>
  <c r="V276" i="34"/>
  <c r="R276" i="34"/>
  <c r="X276" i="34"/>
  <c r="P276" i="34"/>
  <c r="Q276" i="34"/>
  <c r="P707" i="34"/>
  <c r="A707" i="34"/>
  <c r="P738" i="34"/>
  <c r="A738" i="34"/>
  <c r="P406" i="34"/>
  <c r="A406" i="34"/>
  <c r="P682" i="34"/>
  <c r="A682" i="34"/>
  <c r="P688" i="34"/>
  <c r="A688" i="34"/>
  <c r="P700" i="34"/>
  <c r="A700" i="34"/>
  <c r="P716" i="34"/>
  <c r="A716" i="34"/>
  <c r="P762" i="34"/>
  <c r="A762" i="34"/>
  <c r="P770" i="34"/>
  <c r="A770" i="34"/>
  <c r="P828" i="34"/>
  <c r="A828" i="34"/>
  <c r="P889" i="34"/>
  <c r="A889" i="34"/>
  <c r="P259" i="34"/>
  <c r="A259" i="34"/>
  <c r="P271" i="34"/>
  <c r="A271" i="34"/>
  <c r="P279" i="34"/>
  <c r="A279" i="34"/>
  <c r="P283" i="34"/>
  <c r="A283" i="34"/>
  <c r="P297" i="34"/>
  <c r="A297" i="34"/>
  <c r="P301" i="34"/>
  <c r="A301" i="34"/>
  <c r="P291" i="34"/>
  <c r="A291" i="34"/>
  <c r="P756" i="34"/>
  <c r="A756" i="34"/>
  <c r="P730" i="34"/>
  <c r="A730" i="34"/>
  <c r="P742" i="34"/>
  <c r="A742" i="34"/>
  <c r="P402" i="34"/>
  <c r="A402" i="34"/>
  <c r="P676" i="34"/>
  <c r="A676" i="34"/>
  <c r="P686" i="34"/>
  <c r="A686" i="34"/>
  <c r="P696" i="34"/>
  <c r="A696" i="34"/>
  <c r="P705" i="34"/>
  <c r="A705" i="34"/>
  <c r="P720" i="34"/>
  <c r="A720" i="34"/>
  <c r="P765" i="34"/>
  <c r="A765" i="34"/>
  <c r="P776" i="34"/>
  <c r="A776" i="34"/>
  <c r="P839" i="34"/>
  <c r="A839" i="34"/>
  <c r="P877" i="34"/>
  <c r="A877" i="34"/>
  <c r="P898" i="34"/>
  <c r="A898" i="34"/>
  <c r="P263" i="34"/>
  <c r="A263" i="34"/>
  <c r="P267" i="34"/>
  <c r="A267" i="34"/>
  <c r="P275" i="34"/>
  <c r="A275" i="34"/>
  <c r="P287" i="34"/>
  <c r="A287" i="34"/>
  <c r="P747" i="34"/>
  <c r="A747" i="34"/>
  <c r="P753" i="34"/>
  <c r="A753" i="34"/>
  <c r="P959" i="34"/>
  <c r="A959" i="34"/>
  <c r="P708" i="34"/>
  <c r="A708" i="34"/>
  <c r="P723" i="34"/>
  <c r="A723" i="34"/>
  <c r="P727" i="34"/>
  <c r="A727" i="34"/>
  <c r="P731" i="34"/>
  <c r="A731" i="34"/>
  <c r="P735" i="34"/>
  <c r="A735" i="34"/>
  <c r="P739" i="34"/>
  <c r="A739" i="34"/>
  <c r="P743" i="34"/>
  <c r="A743" i="34"/>
  <c r="P403" i="34"/>
  <c r="A403" i="34"/>
  <c r="P663" i="34"/>
  <c r="A663" i="34"/>
  <c r="P673" i="34"/>
  <c r="A673" i="34"/>
  <c r="P679" i="34"/>
  <c r="A679" i="34"/>
  <c r="P683" i="34"/>
  <c r="A683" i="34"/>
  <c r="P687" i="34"/>
  <c r="A687" i="34"/>
  <c r="P697" i="34"/>
  <c r="A697" i="34"/>
  <c r="P701" i="34"/>
  <c r="A701" i="34"/>
  <c r="P713" i="34"/>
  <c r="A713" i="34"/>
  <c r="P717" i="34"/>
  <c r="A717" i="34"/>
  <c r="P721" i="34"/>
  <c r="A721" i="34"/>
  <c r="P767" i="34"/>
  <c r="A767" i="34"/>
  <c r="P766" i="34"/>
  <c r="A766" i="34"/>
  <c r="P771" i="34"/>
  <c r="A771" i="34"/>
  <c r="P777" i="34"/>
  <c r="A777" i="34"/>
  <c r="P829" i="34"/>
  <c r="A829" i="34"/>
  <c r="P840" i="34"/>
  <c r="A840" i="34"/>
  <c r="P878" i="34"/>
  <c r="A878" i="34"/>
  <c r="P890" i="34"/>
  <c r="A890" i="34"/>
  <c r="P414" i="34"/>
  <c r="A414" i="34"/>
  <c r="P260" i="34"/>
  <c r="A260" i="34"/>
  <c r="P264" i="34"/>
  <c r="A264" i="34"/>
  <c r="P268" i="34"/>
  <c r="A268" i="34"/>
  <c r="P272" i="34"/>
  <c r="A272" i="34"/>
  <c r="A276" i="34"/>
  <c r="P280" i="34"/>
  <c r="A280" i="34"/>
  <c r="P284" i="34"/>
  <c r="A284" i="34"/>
  <c r="P288" i="34"/>
  <c r="A288" i="34"/>
  <c r="P298" i="34"/>
  <c r="A298" i="34"/>
  <c r="P752" i="34"/>
  <c r="A752" i="34"/>
  <c r="P726" i="34"/>
  <c r="A726" i="34"/>
  <c r="P744" i="34"/>
  <c r="A744" i="34"/>
  <c r="P754" i="34"/>
  <c r="A754" i="34"/>
  <c r="P709" i="34"/>
  <c r="A709" i="34"/>
  <c r="P728" i="34"/>
  <c r="A728" i="34"/>
  <c r="P736" i="34"/>
  <c r="A736" i="34"/>
  <c r="P899" i="34"/>
  <c r="A899" i="34"/>
  <c r="P404" i="34"/>
  <c r="A404" i="34"/>
  <c r="P680" i="34"/>
  <c r="A680" i="34"/>
  <c r="P698" i="34"/>
  <c r="A698" i="34"/>
  <c r="P714" i="34"/>
  <c r="A714" i="34"/>
  <c r="P763" i="34"/>
  <c r="A763" i="34"/>
  <c r="P772" i="34"/>
  <c r="A772" i="34"/>
  <c r="P869" i="34"/>
  <c r="A869" i="34"/>
  <c r="P896" i="34"/>
  <c r="A896" i="34"/>
  <c r="P261" i="34"/>
  <c r="A261" i="34"/>
  <c r="P269" i="34"/>
  <c r="A269" i="34"/>
  <c r="P281" i="34"/>
  <c r="A281" i="34"/>
  <c r="P299" i="34"/>
  <c r="A299" i="34"/>
  <c r="P746" i="34"/>
  <c r="A746" i="34"/>
  <c r="P722" i="34"/>
  <c r="A722" i="34"/>
  <c r="P734" i="34"/>
  <c r="A734" i="34"/>
  <c r="P670" i="34"/>
  <c r="A670" i="34"/>
  <c r="P750" i="34"/>
  <c r="A750" i="34"/>
  <c r="P960" i="34"/>
  <c r="A960" i="34"/>
  <c r="P724" i="34"/>
  <c r="A724" i="34"/>
  <c r="P732" i="34"/>
  <c r="A732" i="34"/>
  <c r="P740" i="34"/>
  <c r="A740" i="34"/>
  <c r="P668" i="34"/>
  <c r="A668" i="34"/>
  <c r="P674" i="34"/>
  <c r="A674" i="34"/>
  <c r="P684" i="34"/>
  <c r="A684" i="34"/>
  <c r="P702" i="34"/>
  <c r="A702" i="34"/>
  <c r="P718" i="34"/>
  <c r="A718" i="34"/>
  <c r="P760" i="34"/>
  <c r="A760" i="34"/>
  <c r="P768" i="34"/>
  <c r="A768" i="34"/>
  <c r="P778" i="34"/>
  <c r="A778" i="34"/>
  <c r="P837" i="34"/>
  <c r="A837" i="34"/>
  <c r="P879" i="34"/>
  <c r="A879" i="34"/>
  <c r="P415" i="34"/>
  <c r="A415" i="34"/>
  <c r="P265" i="34"/>
  <c r="A265" i="34"/>
  <c r="P273" i="34"/>
  <c r="A273" i="34"/>
  <c r="P277" i="34"/>
  <c r="A277" i="34"/>
  <c r="P285" i="34"/>
  <c r="A285" i="34"/>
  <c r="P289" i="34"/>
  <c r="A289" i="34"/>
  <c r="P302" i="34"/>
  <c r="A302" i="34"/>
  <c r="P745" i="34"/>
  <c r="A745" i="34"/>
  <c r="P751" i="34"/>
  <c r="A751" i="34"/>
  <c r="P755" i="34"/>
  <c r="A755" i="34"/>
  <c r="P706" i="34"/>
  <c r="A706" i="34"/>
  <c r="P710" i="34"/>
  <c r="A710" i="34"/>
  <c r="P725" i="34"/>
  <c r="A725" i="34"/>
  <c r="P729" i="34"/>
  <c r="A729" i="34"/>
  <c r="P733" i="34"/>
  <c r="A733" i="34"/>
  <c r="P737" i="34"/>
  <c r="A737" i="34"/>
  <c r="P741" i="34"/>
  <c r="A741" i="34"/>
  <c r="P940" i="34"/>
  <c r="A940" i="34"/>
  <c r="P405" i="34"/>
  <c r="A405" i="34"/>
  <c r="P669" i="34"/>
  <c r="A669" i="34"/>
  <c r="P675" i="34"/>
  <c r="A675" i="34"/>
  <c r="P681" i="34"/>
  <c r="A681" i="34"/>
  <c r="P685" i="34"/>
  <c r="A685" i="34"/>
  <c r="P689" i="34"/>
  <c r="A689" i="34"/>
  <c r="P699" i="34"/>
  <c r="A699" i="34"/>
  <c r="P703" i="34"/>
  <c r="A703" i="34"/>
  <c r="P715" i="34"/>
  <c r="A715" i="34"/>
  <c r="P719" i="34"/>
  <c r="A719" i="34"/>
  <c r="P761" i="34"/>
  <c r="A761" i="34"/>
  <c r="P764" i="34"/>
  <c r="A764" i="34"/>
  <c r="P769" i="34"/>
  <c r="A769" i="34"/>
  <c r="P773" i="34"/>
  <c r="A773" i="34"/>
  <c r="P779" i="34"/>
  <c r="A779" i="34"/>
  <c r="P838" i="34"/>
  <c r="A838" i="34"/>
  <c r="P870" i="34"/>
  <c r="A870" i="34"/>
  <c r="P880" i="34"/>
  <c r="A880" i="34"/>
  <c r="P897" i="34"/>
  <c r="A897" i="34"/>
  <c r="P416" i="34"/>
  <c r="A416" i="34"/>
  <c r="P262" i="34"/>
  <c r="A262" i="34"/>
  <c r="P266" i="34"/>
  <c r="A266" i="34"/>
  <c r="P270" i="34"/>
  <c r="A270" i="34"/>
  <c r="P274" i="34"/>
  <c r="A274" i="34"/>
  <c r="P278" i="34"/>
  <c r="A278" i="34"/>
  <c r="P282" i="34"/>
  <c r="A282" i="34"/>
  <c r="P286" i="34"/>
  <c r="A286" i="34"/>
  <c r="P296" i="34"/>
  <c r="A296" i="34"/>
  <c r="P300" i="34"/>
  <c r="A300" i="34"/>
  <c r="P290" i="34"/>
  <c r="A290" i="34"/>
  <c r="Q744" i="34"/>
  <c r="R744" i="34"/>
  <c r="V744" i="34"/>
  <c r="AA744" i="34"/>
  <c r="X744" i="34"/>
  <c r="AA724" i="34"/>
  <c r="X724" i="34"/>
  <c r="Q724" i="34"/>
  <c r="R724" i="34"/>
  <c r="V724" i="34"/>
  <c r="AA738" i="34"/>
  <c r="X738" i="34"/>
  <c r="Q738" i="34"/>
  <c r="R738" i="34"/>
  <c r="V738" i="34"/>
  <c r="AA403" i="34"/>
  <c r="X403" i="34"/>
  <c r="Q403" i="34"/>
  <c r="R403" i="34"/>
  <c r="V403" i="34"/>
  <c r="AA683" i="34"/>
  <c r="X683" i="34"/>
  <c r="Q683" i="34"/>
  <c r="R683" i="34"/>
  <c r="V683" i="34"/>
  <c r="AA697" i="34"/>
  <c r="X697" i="34"/>
  <c r="Q697" i="34"/>
  <c r="R697" i="34"/>
  <c r="V697" i="34"/>
  <c r="R720" i="34"/>
  <c r="V720" i="34"/>
  <c r="AA720" i="34"/>
  <c r="X720" i="34"/>
  <c r="Q720" i="34"/>
  <c r="R776" i="34"/>
  <c r="V776" i="34"/>
  <c r="AA776" i="34"/>
  <c r="X776" i="34"/>
  <c r="Q776" i="34"/>
  <c r="R877" i="34"/>
  <c r="V877" i="34"/>
  <c r="AA877" i="34"/>
  <c r="X877" i="34"/>
  <c r="Q877" i="34"/>
  <c r="AA275" i="34"/>
  <c r="X275" i="34"/>
  <c r="Q275" i="34"/>
  <c r="R275" i="34"/>
  <c r="V275" i="34"/>
  <c r="X751" i="34"/>
  <c r="Q751" i="34"/>
  <c r="R751" i="34"/>
  <c r="V751" i="34"/>
  <c r="AA751" i="34"/>
  <c r="R710" i="34"/>
  <c r="V710" i="34"/>
  <c r="AA710" i="34"/>
  <c r="X710" i="34"/>
  <c r="Q710" i="34"/>
  <c r="Q899" i="34"/>
  <c r="R899" i="34"/>
  <c r="V899" i="34"/>
  <c r="AA899" i="34"/>
  <c r="X899" i="34"/>
  <c r="R674" i="34"/>
  <c r="V674" i="34"/>
  <c r="AA674" i="34"/>
  <c r="X674" i="34"/>
  <c r="Q674" i="34"/>
  <c r="Q717" i="34"/>
  <c r="R717" i="34"/>
  <c r="V717" i="34"/>
  <c r="AA717" i="34"/>
  <c r="X717" i="34"/>
  <c r="Q766" i="34"/>
  <c r="R766" i="34"/>
  <c r="V766" i="34"/>
  <c r="AA766" i="34"/>
  <c r="X766" i="34"/>
  <c r="Q829" i="34"/>
  <c r="R829" i="34"/>
  <c r="V829" i="34"/>
  <c r="AA829" i="34"/>
  <c r="X829" i="34"/>
  <c r="Q890" i="34"/>
  <c r="R890" i="34"/>
  <c r="V890" i="34"/>
  <c r="AA890" i="34"/>
  <c r="X890" i="34"/>
  <c r="R260" i="34"/>
  <c r="V260" i="34"/>
  <c r="Q260" i="34"/>
  <c r="AA260" i="34"/>
  <c r="X260" i="34"/>
  <c r="X264" i="34"/>
  <c r="Q264" i="34"/>
  <c r="R264" i="34"/>
  <c r="V264" i="34"/>
  <c r="AA264" i="34"/>
  <c r="X272" i="34"/>
  <c r="Q272" i="34"/>
  <c r="R272" i="34"/>
  <c r="V272" i="34"/>
  <c r="AA272" i="34"/>
  <c r="R280" i="34"/>
  <c r="V280" i="34"/>
  <c r="AA280" i="34"/>
  <c r="X280" i="34"/>
  <c r="Q280" i="34"/>
  <c r="R284" i="34"/>
  <c r="V284" i="34"/>
  <c r="AA284" i="34"/>
  <c r="X284" i="34"/>
  <c r="Q284" i="34"/>
  <c r="R288" i="34"/>
  <c r="V288" i="34"/>
  <c r="AA288" i="34"/>
  <c r="X288" i="34"/>
  <c r="Q288" i="34"/>
  <c r="R298" i="34"/>
  <c r="V298" i="34"/>
  <c r="AA298" i="34"/>
  <c r="X298" i="34"/>
  <c r="Q298" i="34"/>
  <c r="Q754" i="34"/>
  <c r="R754" i="34"/>
  <c r="V754" i="34"/>
  <c r="AA754" i="34"/>
  <c r="X754" i="34"/>
  <c r="AA728" i="34"/>
  <c r="X728" i="34"/>
  <c r="Q728" i="34"/>
  <c r="R728" i="34"/>
  <c r="V728" i="34"/>
  <c r="AA742" i="34"/>
  <c r="X742" i="34"/>
  <c r="Q742" i="34"/>
  <c r="R742" i="34"/>
  <c r="V742" i="34"/>
  <c r="AA663" i="34"/>
  <c r="X663" i="34"/>
  <c r="Q663" i="34"/>
  <c r="R663" i="34"/>
  <c r="V663" i="34"/>
  <c r="AA687" i="34"/>
  <c r="X687" i="34"/>
  <c r="Q687" i="34"/>
  <c r="R687" i="34"/>
  <c r="V687" i="34"/>
  <c r="AA701" i="34"/>
  <c r="X701" i="34"/>
  <c r="Q701" i="34"/>
  <c r="R701" i="34"/>
  <c r="V701" i="34"/>
  <c r="R762" i="34"/>
  <c r="V762" i="34"/>
  <c r="AA762" i="34"/>
  <c r="X762" i="34"/>
  <c r="Q762" i="34"/>
  <c r="R828" i="34"/>
  <c r="V828" i="34"/>
  <c r="AA828" i="34"/>
  <c r="X828" i="34"/>
  <c r="Q828" i="34"/>
  <c r="R898" i="34"/>
  <c r="V898" i="34"/>
  <c r="AA898" i="34"/>
  <c r="X898" i="34"/>
  <c r="Q898" i="34"/>
  <c r="Q271" i="34"/>
  <c r="R271" i="34"/>
  <c r="V271" i="34"/>
  <c r="AA271" i="34"/>
  <c r="X271" i="34"/>
  <c r="X745" i="34"/>
  <c r="Q745" i="34"/>
  <c r="R745" i="34"/>
  <c r="V745" i="34"/>
  <c r="AA745" i="34"/>
  <c r="R706" i="34"/>
  <c r="V706" i="34"/>
  <c r="AA706" i="34"/>
  <c r="X706" i="34"/>
  <c r="Q706" i="34"/>
  <c r="R729" i="34"/>
  <c r="V729" i="34"/>
  <c r="AA729" i="34"/>
  <c r="X729" i="34"/>
  <c r="Q729" i="34"/>
  <c r="R735" i="34"/>
  <c r="V735" i="34"/>
  <c r="AA735" i="34"/>
  <c r="X735" i="34"/>
  <c r="Q735" i="34"/>
  <c r="R743" i="34"/>
  <c r="V743" i="34"/>
  <c r="AA743" i="34"/>
  <c r="X743" i="34"/>
  <c r="Q743" i="34"/>
  <c r="R404" i="34"/>
  <c r="V404" i="34"/>
  <c r="AA404" i="34"/>
  <c r="X404" i="34"/>
  <c r="Q404" i="34"/>
  <c r="R680" i="34"/>
  <c r="V680" i="34"/>
  <c r="AA680" i="34"/>
  <c r="X680" i="34"/>
  <c r="Q680" i="34"/>
  <c r="R702" i="34"/>
  <c r="V702" i="34"/>
  <c r="AA702" i="34"/>
  <c r="X702" i="34"/>
  <c r="Q702" i="34"/>
  <c r="Q721" i="34"/>
  <c r="R721" i="34"/>
  <c r="V721" i="34"/>
  <c r="AA721" i="34"/>
  <c r="X721" i="34"/>
  <c r="Q771" i="34"/>
  <c r="R771" i="34"/>
  <c r="V771" i="34"/>
  <c r="AA771" i="34"/>
  <c r="X771" i="34"/>
  <c r="Q840" i="34"/>
  <c r="R840" i="34"/>
  <c r="V840" i="34"/>
  <c r="AA840" i="34"/>
  <c r="X840" i="34"/>
  <c r="AA746" i="34"/>
  <c r="X746" i="34"/>
  <c r="Q746" i="34"/>
  <c r="R746" i="34"/>
  <c r="V746" i="34"/>
  <c r="AA752" i="34"/>
  <c r="X752" i="34"/>
  <c r="Q752" i="34"/>
  <c r="R752" i="34"/>
  <c r="V752" i="34"/>
  <c r="AA756" i="34"/>
  <c r="X756" i="34"/>
  <c r="Q756" i="34"/>
  <c r="R756" i="34"/>
  <c r="V756" i="34"/>
  <c r="Q707" i="34"/>
  <c r="R707" i="34"/>
  <c r="V707" i="34"/>
  <c r="AA707" i="34"/>
  <c r="X707" i="34"/>
  <c r="Q722" i="34"/>
  <c r="R722" i="34"/>
  <c r="V722" i="34"/>
  <c r="AA722" i="34"/>
  <c r="X722" i="34"/>
  <c r="Q726" i="34"/>
  <c r="R726" i="34"/>
  <c r="V726" i="34"/>
  <c r="AA726" i="34"/>
  <c r="X726" i="34"/>
  <c r="Q730" i="34"/>
  <c r="R730" i="34"/>
  <c r="V730" i="34"/>
  <c r="AA730" i="34"/>
  <c r="X730" i="34"/>
  <c r="Q732" i="34"/>
  <c r="R732" i="34"/>
  <c r="V732" i="34"/>
  <c r="AA732" i="34"/>
  <c r="X732" i="34"/>
  <c r="Q733" i="34"/>
  <c r="R733" i="34"/>
  <c r="V733" i="34"/>
  <c r="AA733" i="34"/>
  <c r="X733" i="34"/>
  <c r="Q736" i="34"/>
  <c r="R736" i="34"/>
  <c r="V736" i="34"/>
  <c r="AA736" i="34"/>
  <c r="X736" i="34"/>
  <c r="Q740" i="34"/>
  <c r="R740" i="34"/>
  <c r="V740" i="34"/>
  <c r="AA740" i="34"/>
  <c r="X740" i="34"/>
  <c r="X940" i="34"/>
  <c r="Q940" i="34"/>
  <c r="R940" i="34"/>
  <c r="V940" i="34"/>
  <c r="AA940" i="34"/>
  <c r="Q405" i="34"/>
  <c r="R405" i="34"/>
  <c r="V405" i="34"/>
  <c r="AA405" i="34"/>
  <c r="X405" i="34"/>
  <c r="Q669" i="34"/>
  <c r="R669" i="34"/>
  <c r="V669" i="34"/>
  <c r="AA669" i="34"/>
  <c r="X669" i="34"/>
  <c r="Q675" i="34"/>
  <c r="R675" i="34"/>
  <c r="V675" i="34"/>
  <c r="AA675" i="34"/>
  <c r="X675" i="34"/>
  <c r="Q681" i="34"/>
  <c r="R681" i="34"/>
  <c r="V681" i="34"/>
  <c r="AA681" i="34"/>
  <c r="X681" i="34"/>
  <c r="Q685" i="34"/>
  <c r="R685" i="34"/>
  <c r="V685" i="34"/>
  <c r="AA685" i="34"/>
  <c r="X685" i="34"/>
  <c r="Q689" i="34"/>
  <c r="R689" i="34"/>
  <c r="V689" i="34"/>
  <c r="AA689" i="34"/>
  <c r="X689" i="34"/>
  <c r="Q699" i="34"/>
  <c r="R699" i="34"/>
  <c r="V699" i="34"/>
  <c r="AA699" i="34"/>
  <c r="X699" i="34"/>
  <c r="X714" i="34"/>
  <c r="Q714" i="34"/>
  <c r="R714" i="34"/>
  <c r="V714" i="34"/>
  <c r="AA714" i="34"/>
  <c r="X718" i="34"/>
  <c r="Q718" i="34"/>
  <c r="R718" i="34"/>
  <c r="V718" i="34"/>
  <c r="AA718" i="34"/>
  <c r="X760" i="34"/>
  <c r="Q760" i="34"/>
  <c r="R760" i="34"/>
  <c r="V760" i="34"/>
  <c r="AA760" i="34"/>
  <c r="X763" i="34"/>
  <c r="Q763" i="34"/>
  <c r="R763" i="34"/>
  <c r="V763" i="34"/>
  <c r="AA763" i="34"/>
  <c r="X768" i="34"/>
  <c r="Q768" i="34"/>
  <c r="R768" i="34"/>
  <c r="V768" i="34"/>
  <c r="AA768" i="34"/>
  <c r="X772" i="34"/>
  <c r="Q772" i="34"/>
  <c r="R772" i="34"/>
  <c r="V772" i="34"/>
  <c r="AA772" i="34"/>
  <c r="X778" i="34"/>
  <c r="Q778" i="34"/>
  <c r="R778" i="34"/>
  <c r="V778" i="34"/>
  <c r="AA778" i="34"/>
  <c r="X837" i="34"/>
  <c r="Q837" i="34"/>
  <c r="R837" i="34"/>
  <c r="V837" i="34"/>
  <c r="AA837" i="34"/>
  <c r="X869" i="34"/>
  <c r="Q869" i="34"/>
  <c r="R869" i="34"/>
  <c r="V869" i="34"/>
  <c r="AA869" i="34"/>
  <c r="X879" i="34"/>
  <c r="Q879" i="34"/>
  <c r="R879" i="34"/>
  <c r="V879" i="34"/>
  <c r="AA879" i="34"/>
  <c r="X896" i="34"/>
  <c r="Q896" i="34"/>
  <c r="R896" i="34"/>
  <c r="V896" i="34"/>
  <c r="AA896" i="34"/>
  <c r="AA415" i="34"/>
  <c r="X415" i="34"/>
  <c r="Q415" i="34"/>
  <c r="R415" i="34"/>
  <c r="V415" i="34"/>
  <c r="Q261" i="34"/>
  <c r="R261" i="34"/>
  <c r="V261" i="34"/>
  <c r="AA261" i="34"/>
  <c r="X261" i="34"/>
  <c r="AA265" i="34"/>
  <c r="X265" i="34"/>
  <c r="Q265" i="34"/>
  <c r="R265" i="34"/>
  <c r="V265" i="34"/>
  <c r="AA269" i="34"/>
  <c r="X269" i="34"/>
  <c r="Q269" i="34"/>
  <c r="R269" i="34"/>
  <c r="V269" i="34"/>
  <c r="Q273" i="34"/>
  <c r="R273" i="34"/>
  <c r="V273" i="34"/>
  <c r="AA273" i="34"/>
  <c r="X273" i="34"/>
  <c r="Q277" i="34"/>
  <c r="R277" i="34"/>
  <c r="V277" i="34"/>
  <c r="AA277" i="34"/>
  <c r="X277" i="34"/>
  <c r="Q281" i="34"/>
  <c r="R281" i="34"/>
  <c r="V281" i="34"/>
  <c r="AA281" i="34"/>
  <c r="X281" i="34"/>
  <c r="Q285" i="34"/>
  <c r="R285" i="34"/>
  <c r="V285" i="34"/>
  <c r="AA285" i="34"/>
  <c r="X285" i="34"/>
  <c r="Q289" i="34"/>
  <c r="R289" i="34"/>
  <c r="V289" i="34"/>
  <c r="AA289" i="34"/>
  <c r="X289" i="34"/>
  <c r="Q299" i="34"/>
  <c r="R299" i="34"/>
  <c r="V299" i="34"/>
  <c r="AA299" i="34"/>
  <c r="X299" i="34"/>
  <c r="Q302" i="34"/>
  <c r="R302" i="34"/>
  <c r="V302" i="34"/>
  <c r="AA302" i="34"/>
  <c r="X302" i="34"/>
  <c r="Q750" i="34"/>
  <c r="R750" i="34"/>
  <c r="V750" i="34"/>
  <c r="AA750" i="34"/>
  <c r="X750" i="34"/>
  <c r="AA709" i="34"/>
  <c r="X709" i="34"/>
  <c r="Q709" i="34"/>
  <c r="R709" i="34"/>
  <c r="V709" i="34"/>
  <c r="AA734" i="34"/>
  <c r="X734" i="34"/>
  <c r="Q734" i="34"/>
  <c r="R734" i="34"/>
  <c r="V734" i="34"/>
  <c r="AA673" i="34"/>
  <c r="X673" i="34"/>
  <c r="Q673" i="34"/>
  <c r="R673" i="34"/>
  <c r="V673" i="34"/>
  <c r="R716" i="34"/>
  <c r="V716" i="34"/>
  <c r="AA716" i="34"/>
  <c r="X716" i="34"/>
  <c r="Q716" i="34"/>
  <c r="R765" i="34"/>
  <c r="V765" i="34"/>
  <c r="AA765" i="34"/>
  <c r="X765" i="34"/>
  <c r="Q765" i="34"/>
  <c r="R839" i="34"/>
  <c r="V839" i="34"/>
  <c r="AA839" i="34"/>
  <c r="X839" i="34"/>
  <c r="Q839" i="34"/>
  <c r="AA259" i="34"/>
  <c r="X259" i="34"/>
  <c r="Q259" i="34"/>
  <c r="R259" i="34"/>
  <c r="V259" i="34"/>
  <c r="AA279" i="34"/>
  <c r="X279" i="34"/>
  <c r="Q279" i="34"/>
  <c r="R279" i="34"/>
  <c r="V279" i="34"/>
  <c r="X755" i="34"/>
  <c r="Q755" i="34"/>
  <c r="R755" i="34"/>
  <c r="V755" i="34"/>
  <c r="AA755" i="34"/>
  <c r="R725" i="34"/>
  <c r="V725" i="34"/>
  <c r="AA725" i="34"/>
  <c r="X725" i="34"/>
  <c r="Q725" i="34"/>
  <c r="R731" i="34"/>
  <c r="V731" i="34"/>
  <c r="AA731" i="34"/>
  <c r="X731" i="34"/>
  <c r="Q731" i="34"/>
  <c r="R739" i="34"/>
  <c r="V739" i="34"/>
  <c r="AA739" i="34"/>
  <c r="X739" i="34"/>
  <c r="Q739" i="34"/>
  <c r="R668" i="34"/>
  <c r="V668" i="34"/>
  <c r="AA668" i="34"/>
  <c r="X668" i="34"/>
  <c r="Q668" i="34"/>
  <c r="R684" i="34"/>
  <c r="V684" i="34"/>
  <c r="AA684" i="34"/>
  <c r="X684" i="34"/>
  <c r="Q684" i="34"/>
  <c r="R698" i="34"/>
  <c r="V698" i="34"/>
  <c r="AA698" i="34"/>
  <c r="X698" i="34"/>
  <c r="Q698" i="34"/>
  <c r="Q713" i="34"/>
  <c r="R713" i="34"/>
  <c r="V713" i="34"/>
  <c r="AA713" i="34"/>
  <c r="X713" i="34"/>
  <c r="Q767" i="34"/>
  <c r="R767" i="34"/>
  <c r="V767" i="34"/>
  <c r="AA767" i="34"/>
  <c r="X767" i="34"/>
  <c r="Q777" i="34"/>
  <c r="R777" i="34"/>
  <c r="V777" i="34"/>
  <c r="AA777" i="34"/>
  <c r="X777" i="34"/>
  <c r="Q878" i="34"/>
  <c r="R878" i="34"/>
  <c r="V878" i="34"/>
  <c r="AA878" i="34"/>
  <c r="X878" i="34"/>
  <c r="X414" i="34"/>
  <c r="Q414" i="34"/>
  <c r="R414" i="34"/>
  <c r="V414" i="34"/>
  <c r="AA414" i="34"/>
  <c r="X268" i="34"/>
  <c r="Q268" i="34"/>
  <c r="R268" i="34"/>
  <c r="V268" i="34"/>
  <c r="AA268" i="34"/>
  <c r="R747" i="34"/>
  <c r="V747" i="34"/>
  <c r="AA747" i="34"/>
  <c r="X747" i="34"/>
  <c r="Q747" i="34"/>
  <c r="R753" i="34"/>
  <c r="V753" i="34"/>
  <c r="AA753" i="34"/>
  <c r="X753" i="34"/>
  <c r="Q753" i="34"/>
  <c r="R959" i="34"/>
  <c r="V959" i="34"/>
  <c r="AA959" i="34"/>
  <c r="X959" i="34"/>
  <c r="Q959" i="34"/>
  <c r="X708" i="34"/>
  <c r="Q708" i="34"/>
  <c r="R708" i="34"/>
  <c r="V708" i="34"/>
  <c r="AA708" i="34"/>
  <c r="X723" i="34"/>
  <c r="Q723" i="34"/>
  <c r="R723" i="34"/>
  <c r="V723" i="34"/>
  <c r="AA723" i="34"/>
  <c r="X727" i="34"/>
  <c r="Q727" i="34"/>
  <c r="R727" i="34"/>
  <c r="V727" i="34"/>
  <c r="AA727" i="34"/>
  <c r="X737" i="34"/>
  <c r="Q737" i="34"/>
  <c r="R737" i="34"/>
  <c r="V737" i="34"/>
  <c r="AA737" i="34"/>
  <c r="X741" i="34"/>
  <c r="Q741" i="34"/>
  <c r="R741" i="34"/>
  <c r="V741" i="34"/>
  <c r="AA741" i="34"/>
  <c r="X402" i="34"/>
  <c r="Q402" i="34"/>
  <c r="R402" i="34"/>
  <c r="V402" i="34"/>
  <c r="AA402" i="34"/>
  <c r="X406" i="34"/>
  <c r="Q406" i="34"/>
  <c r="R406" i="34"/>
  <c r="V406" i="34"/>
  <c r="AA406" i="34"/>
  <c r="X670" i="34"/>
  <c r="Q670" i="34"/>
  <c r="R670" i="34"/>
  <c r="V670" i="34"/>
  <c r="AA670" i="34"/>
  <c r="X676" i="34"/>
  <c r="Q676" i="34"/>
  <c r="R676" i="34"/>
  <c r="V676" i="34"/>
  <c r="AA676" i="34"/>
  <c r="X682" i="34"/>
  <c r="Q682" i="34"/>
  <c r="R682" i="34"/>
  <c r="V682" i="34"/>
  <c r="AA682" i="34"/>
  <c r="X686" i="34"/>
  <c r="Q686" i="34"/>
  <c r="R686" i="34"/>
  <c r="V686" i="34"/>
  <c r="AA686" i="34"/>
  <c r="X688" i="34"/>
  <c r="Q688" i="34"/>
  <c r="R688" i="34"/>
  <c r="V688" i="34"/>
  <c r="AA688" i="34"/>
  <c r="X696" i="34"/>
  <c r="Q696" i="34"/>
  <c r="R696" i="34"/>
  <c r="V696" i="34"/>
  <c r="AA696" i="34"/>
  <c r="X700" i="34"/>
  <c r="Q700" i="34"/>
  <c r="R700" i="34"/>
  <c r="V700" i="34"/>
  <c r="AA700" i="34"/>
  <c r="X703" i="34"/>
  <c r="Q703" i="34"/>
  <c r="R703" i="34"/>
  <c r="V703" i="34"/>
  <c r="AA703" i="34"/>
  <c r="AA715" i="34"/>
  <c r="X715" i="34"/>
  <c r="Q715" i="34"/>
  <c r="R715" i="34"/>
  <c r="V715" i="34"/>
  <c r="AA719" i="34"/>
  <c r="X719" i="34"/>
  <c r="Q719" i="34"/>
  <c r="R719" i="34"/>
  <c r="V719" i="34"/>
  <c r="AA761" i="34"/>
  <c r="X761" i="34"/>
  <c r="Q761" i="34"/>
  <c r="R761" i="34"/>
  <c r="V761" i="34"/>
  <c r="AA764" i="34"/>
  <c r="X764" i="34"/>
  <c r="Q764" i="34"/>
  <c r="R764" i="34"/>
  <c r="V764" i="34"/>
  <c r="AA769" i="34"/>
  <c r="X769" i="34"/>
  <c r="Q769" i="34"/>
  <c r="R769" i="34"/>
  <c r="V769" i="34"/>
  <c r="AA773" i="34"/>
  <c r="X773" i="34"/>
  <c r="Q773" i="34"/>
  <c r="R773" i="34"/>
  <c r="V773" i="34"/>
  <c r="AA779" i="34"/>
  <c r="X779" i="34"/>
  <c r="Q779" i="34"/>
  <c r="R779" i="34"/>
  <c r="V779" i="34"/>
  <c r="AA838" i="34"/>
  <c r="X838" i="34"/>
  <c r="Q838" i="34"/>
  <c r="R838" i="34"/>
  <c r="V838" i="34"/>
  <c r="AA870" i="34"/>
  <c r="X870" i="34"/>
  <c r="Q870" i="34"/>
  <c r="R870" i="34"/>
  <c r="V870" i="34"/>
  <c r="AA880" i="34"/>
  <c r="X880" i="34"/>
  <c r="Q880" i="34"/>
  <c r="R880" i="34"/>
  <c r="V880" i="34"/>
  <c r="AA897" i="34"/>
  <c r="X897" i="34"/>
  <c r="Q897" i="34"/>
  <c r="R897" i="34"/>
  <c r="V897" i="34"/>
  <c r="R416" i="34"/>
  <c r="V416" i="34"/>
  <c r="AA416" i="34"/>
  <c r="X416" i="34"/>
  <c r="Q416" i="34"/>
  <c r="X262" i="34"/>
  <c r="Q262" i="34"/>
  <c r="R262" i="34"/>
  <c r="V262" i="34"/>
  <c r="AA262" i="34"/>
  <c r="R266" i="34"/>
  <c r="V266" i="34"/>
  <c r="AA266" i="34"/>
  <c r="X266" i="34"/>
  <c r="Q266" i="34"/>
  <c r="R270" i="34"/>
  <c r="V270" i="34"/>
  <c r="AA270" i="34"/>
  <c r="X270" i="34"/>
  <c r="Q270" i="34"/>
  <c r="X274" i="34"/>
  <c r="Q274" i="34"/>
  <c r="R274" i="34"/>
  <c r="V274" i="34"/>
  <c r="AA274" i="34"/>
  <c r="X278" i="34"/>
  <c r="Q278" i="34"/>
  <c r="R278" i="34"/>
  <c r="V278" i="34"/>
  <c r="AA278" i="34"/>
  <c r="X282" i="34"/>
  <c r="Q282" i="34"/>
  <c r="R282" i="34"/>
  <c r="V282" i="34"/>
  <c r="AA282" i="34"/>
  <c r="X286" i="34"/>
  <c r="Q286" i="34"/>
  <c r="R286" i="34"/>
  <c r="V286" i="34"/>
  <c r="AA286" i="34"/>
  <c r="X296" i="34"/>
  <c r="Q296" i="34"/>
  <c r="R296" i="34"/>
  <c r="V296" i="34"/>
  <c r="AA296" i="34"/>
  <c r="X300" i="34"/>
  <c r="Q300" i="34"/>
  <c r="R300" i="34"/>
  <c r="V300" i="34"/>
  <c r="AA300" i="34"/>
  <c r="AA290" i="34"/>
  <c r="X290" i="34"/>
  <c r="Q290" i="34"/>
  <c r="R290" i="34"/>
  <c r="V290" i="34"/>
  <c r="Q960" i="34"/>
  <c r="R960" i="34"/>
  <c r="V960" i="34"/>
  <c r="AA960" i="34"/>
  <c r="X960" i="34"/>
  <c r="AA679" i="34"/>
  <c r="X679" i="34"/>
  <c r="Q679" i="34"/>
  <c r="R679" i="34"/>
  <c r="V679" i="34"/>
  <c r="AA705" i="34"/>
  <c r="X705" i="34"/>
  <c r="Q705" i="34"/>
  <c r="R705" i="34"/>
  <c r="V705" i="34"/>
  <c r="R770" i="34"/>
  <c r="V770" i="34"/>
  <c r="AA770" i="34"/>
  <c r="X770" i="34"/>
  <c r="Q770" i="34"/>
  <c r="R889" i="34"/>
  <c r="V889" i="34"/>
  <c r="AA889" i="34"/>
  <c r="X889" i="34"/>
  <c r="Q889" i="34"/>
  <c r="Q263" i="34"/>
  <c r="R263" i="34"/>
  <c r="V263" i="34"/>
  <c r="AA263" i="34"/>
  <c r="X263" i="34"/>
  <c r="Q267" i="34"/>
  <c r="R267" i="34"/>
  <c r="V267" i="34"/>
  <c r="AA267" i="34"/>
  <c r="X267" i="34"/>
  <c r="AA283" i="34"/>
  <c r="X283" i="34"/>
  <c r="Q283" i="34"/>
  <c r="R283" i="34"/>
  <c r="V283" i="34"/>
  <c r="AA287" i="34"/>
  <c r="X287" i="34"/>
  <c r="Q287" i="34"/>
  <c r="R287" i="34"/>
  <c r="V287" i="34"/>
  <c r="AA297" i="34"/>
  <c r="X297" i="34"/>
  <c r="Q297" i="34"/>
  <c r="R297" i="34"/>
  <c r="V297" i="34"/>
  <c r="AA301" i="34"/>
  <c r="X301" i="34"/>
  <c r="Q301" i="34"/>
  <c r="R301" i="34"/>
  <c r="V301" i="34"/>
  <c r="R291" i="34"/>
  <c r="V291" i="34"/>
  <c r="AA291" i="34"/>
  <c r="X291" i="34"/>
  <c r="Q291" i="34"/>
  <c r="B42" i="34" l="1"/>
  <c r="P42" i="34" l="1"/>
  <c r="A42" i="34"/>
  <c r="R42" i="34"/>
  <c r="V42" i="34"/>
  <c r="AA42" i="34"/>
  <c r="X42" i="34"/>
  <c r="Q42" i="34"/>
  <c r="B961" i="34" l="1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41" i="34"/>
  <c r="B836" i="34"/>
  <c r="B835" i="34"/>
  <c r="B834" i="34"/>
  <c r="B833" i="34"/>
  <c r="B832" i="34"/>
  <c r="B831" i="34"/>
  <c r="B830" i="34"/>
  <c r="B827" i="34"/>
  <c r="B826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5" i="34"/>
  <c r="B774" i="34"/>
  <c r="B759" i="34"/>
  <c r="B758" i="34"/>
  <c r="B757" i="34"/>
  <c r="B418" i="34"/>
  <c r="B417" i="34"/>
  <c r="B409" i="34"/>
  <c r="B408" i="34"/>
  <c r="B407" i="34"/>
  <c r="B343" i="34"/>
  <c r="B342" i="34"/>
  <c r="B341" i="34"/>
  <c r="B340" i="34"/>
  <c r="B339" i="34"/>
  <c r="B338" i="34"/>
  <c r="B337" i="34"/>
  <c r="B336" i="34"/>
  <c r="B335" i="34"/>
  <c r="B334" i="34"/>
  <c r="B333" i="34"/>
  <c r="B332" i="34"/>
  <c r="B331" i="34"/>
  <c r="B330" i="34"/>
  <c r="B329" i="34"/>
  <c r="B328" i="34"/>
  <c r="B327" i="34"/>
  <c r="B977" i="34"/>
  <c r="B976" i="34"/>
  <c r="B975" i="34"/>
  <c r="B974" i="34"/>
  <c r="B941" i="34"/>
  <c r="B651" i="34"/>
  <c r="B635" i="34"/>
  <c r="B565" i="34"/>
  <c r="B564" i="34"/>
  <c r="B561" i="34"/>
  <c r="B560" i="34"/>
  <c r="B559" i="34"/>
  <c r="B558" i="34"/>
  <c r="B557" i="34"/>
  <c r="B324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295" i="34"/>
  <c r="B294" i="34"/>
  <c r="B293" i="34"/>
  <c r="B292" i="34"/>
  <c r="B972" i="34"/>
  <c r="B973" i="34"/>
  <c r="B971" i="34"/>
  <c r="B967" i="34"/>
  <c r="B966" i="34"/>
  <c r="B965" i="34"/>
  <c r="P965" i="34" l="1"/>
  <c r="A965" i="34"/>
  <c r="P972" i="34"/>
  <c r="A972" i="34"/>
  <c r="P295" i="34"/>
  <c r="A295" i="34"/>
  <c r="P306" i="34"/>
  <c r="A306" i="34"/>
  <c r="P310" i="34"/>
  <c r="A310" i="34"/>
  <c r="P314" i="34"/>
  <c r="A314" i="34"/>
  <c r="P318" i="34"/>
  <c r="A318" i="34"/>
  <c r="P322" i="34"/>
  <c r="A322" i="34"/>
  <c r="P558" i="34"/>
  <c r="A558" i="34"/>
  <c r="P564" i="34"/>
  <c r="A564" i="34"/>
  <c r="P941" i="34"/>
  <c r="A941" i="34"/>
  <c r="P977" i="34"/>
  <c r="A977" i="34"/>
  <c r="P328" i="34"/>
  <c r="A328" i="34"/>
  <c r="P332" i="34"/>
  <c r="A332" i="34"/>
  <c r="P336" i="34"/>
  <c r="A336" i="34"/>
  <c r="P340" i="34"/>
  <c r="A340" i="34"/>
  <c r="P407" i="34"/>
  <c r="A407" i="34"/>
  <c r="P418" i="34"/>
  <c r="A418" i="34"/>
  <c r="P774" i="34"/>
  <c r="A774" i="34"/>
  <c r="P782" i="34"/>
  <c r="A782" i="34"/>
  <c r="P786" i="34"/>
  <c r="A786" i="34"/>
  <c r="P790" i="34"/>
  <c r="A790" i="34"/>
  <c r="P794" i="34"/>
  <c r="A794" i="34"/>
  <c r="P798" i="34"/>
  <c r="A798" i="34"/>
  <c r="P802" i="34"/>
  <c r="A802" i="34"/>
  <c r="P806" i="34"/>
  <c r="A806" i="34"/>
  <c r="P810" i="34"/>
  <c r="A810" i="34"/>
  <c r="P814" i="34"/>
  <c r="A814" i="34"/>
  <c r="P818" i="34"/>
  <c r="A818" i="34"/>
  <c r="P822" i="34"/>
  <c r="A822" i="34"/>
  <c r="P826" i="34"/>
  <c r="A826" i="34"/>
  <c r="P832" i="34"/>
  <c r="A832" i="34"/>
  <c r="P836" i="34"/>
  <c r="A836" i="34"/>
  <c r="P844" i="34"/>
  <c r="A844" i="34"/>
  <c r="P848" i="34"/>
  <c r="A848" i="34"/>
  <c r="P852" i="34"/>
  <c r="A852" i="34"/>
  <c r="P856" i="34"/>
  <c r="A856" i="34"/>
  <c r="P292" i="34"/>
  <c r="A292" i="34"/>
  <c r="P303" i="34"/>
  <c r="A303" i="34"/>
  <c r="P307" i="34"/>
  <c r="A307" i="34"/>
  <c r="P311" i="34"/>
  <c r="A311" i="34"/>
  <c r="P315" i="34"/>
  <c r="A315" i="34"/>
  <c r="P319" i="34"/>
  <c r="A319" i="34"/>
  <c r="P323" i="34"/>
  <c r="A323" i="34"/>
  <c r="P559" i="34"/>
  <c r="A559" i="34"/>
  <c r="P565" i="34"/>
  <c r="A565" i="34"/>
  <c r="P974" i="34"/>
  <c r="A974" i="34"/>
  <c r="P329" i="34"/>
  <c r="A329" i="34"/>
  <c r="P333" i="34"/>
  <c r="A333" i="34"/>
  <c r="P337" i="34"/>
  <c r="A337" i="34"/>
  <c r="P341" i="34"/>
  <c r="A341" i="34"/>
  <c r="P408" i="34"/>
  <c r="A408" i="34"/>
  <c r="P757" i="34"/>
  <c r="A757" i="34"/>
  <c r="P775" i="34"/>
  <c r="A775" i="34"/>
  <c r="P783" i="34"/>
  <c r="A783" i="34"/>
  <c r="P787" i="34"/>
  <c r="A787" i="34"/>
  <c r="P791" i="34"/>
  <c r="A791" i="34"/>
  <c r="P795" i="34"/>
  <c r="A795" i="34"/>
  <c r="P799" i="34"/>
  <c r="A799" i="34"/>
  <c r="P803" i="34"/>
  <c r="A803" i="34"/>
  <c r="P807" i="34"/>
  <c r="A807" i="34"/>
  <c r="P811" i="34"/>
  <c r="A811" i="34"/>
  <c r="P815" i="34"/>
  <c r="A815" i="34"/>
  <c r="P819" i="34"/>
  <c r="A819" i="34"/>
  <c r="P823" i="34"/>
  <c r="A823" i="34"/>
  <c r="P827" i="34"/>
  <c r="A827" i="34"/>
  <c r="P833" i="34"/>
  <c r="A833" i="34"/>
  <c r="P841" i="34"/>
  <c r="A841" i="34"/>
  <c r="P845" i="34"/>
  <c r="A845" i="34"/>
  <c r="P849" i="34"/>
  <c r="A849" i="34"/>
  <c r="P853" i="34"/>
  <c r="A853" i="34"/>
  <c r="P857" i="34"/>
  <c r="A857" i="34"/>
  <c r="P966" i="34"/>
  <c r="A966" i="34"/>
  <c r="P971" i="34"/>
  <c r="A971" i="34"/>
  <c r="P293" i="34"/>
  <c r="A293" i="34"/>
  <c r="P304" i="34"/>
  <c r="A304" i="34"/>
  <c r="P308" i="34"/>
  <c r="A308" i="34"/>
  <c r="P312" i="34"/>
  <c r="A312" i="34"/>
  <c r="P316" i="34"/>
  <c r="A316" i="34"/>
  <c r="P320" i="34"/>
  <c r="A320" i="34"/>
  <c r="P324" i="34"/>
  <c r="A324" i="34"/>
  <c r="P560" i="34"/>
  <c r="A560" i="34"/>
  <c r="P635" i="34"/>
  <c r="A635" i="34"/>
  <c r="P975" i="34"/>
  <c r="A975" i="34"/>
  <c r="P330" i="34"/>
  <c r="A330" i="34"/>
  <c r="P334" i="34"/>
  <c r="A334" i="34"/>
  <c r="P338" i="34"/>
  <c r="A338" i="34"/>
  <c r="P342" i="34"/>
  <c r="A342" i="34"/>
  <c r="P409" i="34"/>
  <c r="A409" i="34"/>
  <c r="P758" i="34"/>
  <c r="A758" i="34"/>
  <c r="P780" i="34"/>
  <c r="A780" i="34"/>
  <c r="P784" i="34"/>
  <c r="A784" i="34"/>
  <c r="P788" i="34"/>
  <c r="A788" i="34"/>
  <c r="P792" i="34"/>
  <c r="A792" i="34"/>
  <c r="P796" i="34"/>
  <c r="A796" i="34"/>
  <c r="P800" i="34"/>
  <c r="A800" i="34"/>
  <c r="P804" i="34"/>
  <c r="A804" i="34"/>
  <c r="P808" i="34"/>
  <c r="A808" i="34"/>
  <c r="P812" i="34"/>
  <c r="A812" i="34"/>
  <c r="P816" i="34"/>
  <c r="A816" i="34"/>
  <c r="P820" i="34"/>
  <c r="A820" i="34"/>
  <c r="P824" i="34"/>
  <c r="A824" i="34"/>
  <c r="P830" i="34"/>
  <c r="A830" i="34"/>
  <c r="P834" i="34"/>
  <c r="A834" i="34"/>
  <c r="P842" i="34"/>
  <c r="A842" i="34"/>
  <c r="P846" i="34"/>
  <c r="A846" i="34"/>
  <c r="P850" i="34"/>
  <c r="A850" i="34"/>
  <c r="P854" i="34"/>
  <c r="A854" i="34"/>
  <c r="P858" i="34"/>
  <c r="A858" i="34"/>
  <c r="P967" i="34"/>
  <c r="A967" i="34"/>
  <c r="P973" i="34"/>
  <c r="A973" i="34"/>
  <c r="P294" i="34"/>
  <c r="A294" i="34"/>
  <c r="P305" i="34"/>
  <c r="A305" i="34"/>
  <c r="P309" i="34"/>
  <c r="A309" i="34"/>
  <c r="P313" i="34"/>
  <c r="A313" i="34"/>
  <c r="P317" i="34"/>
  <c r="A317" i="34"/>
  <c r="P321" i="34"/>
  <c r="A321" i="34"/>
  <c r="P557" i="34"/>
  <c r="A557" i="34"/>
  <c r="P561" i="34"/>
  <c r="A561" i="34"/>
  <c r="P651" i="34"/>
  <c r="A651" i="34"/>
  <c r="P976" i="34"/>
  <c r="A976" i="34"/>
  <c r="P327" i="34"/>
  <c r="A327" i="34"/>
  <c r="P331" i="34"/>
  <c r="A331" i="34"/>
  <c r="P335" i="34"/>
  <c r="A335" i="34"/>
  <c r="P339" i="34"/>
  <c r="A339" i="34"/>
  <c r="P343" i="34"/>
  <c r="A343" i="34"/>
  <c r="P417" i="34"/>
  <c r="A417" i="34"/>
  <c r="P759" i="34"/>
  <c r="A759" i="34"/>
  <c r="P781" i="34"/>
  <c r="A781" i="34"/>
  <c r="P785" i="34"/>
  <c r="A785" i="34"/>
  <c r="P789" i="34"/>
  <c r="A789" i="34"/>
  <c r="P793" i="34"/>
  <c r="A793" i="34"/>
  <c r="P797" i="34"/>
  <c r="A797" i="34"/>
  <c r="P801" i="34"/>
  <c r="A801" i="34"/>
  <c r="P805" i="34"/>
  <c r="A805" i="34"/>
  <c r="P809" i="34"/>
  <c r="A809" i="34"/>
  <c r="P813" i="34"/>
  <c r="A813" i="34"/>
  <c r="P817" i="34"/>
  <c r="A817" i="34"/>
  <c r="P821" i="34"/>
  <c r="A821" i="34"/>
  <c r="P825" i="34"/>
  <c r="A825" i="34"/>
  <c r="P831" i="34"/>
  <c r="A831" i="34"/>
  <c r="P835" i="34"/>
  <c r="A835" i="34"/>
  <c r="P843" i="34"/>
  <c r="A843" i="34"/>
  <c r="P847" i="34"/>
  <c r="A847" i="34"/>
  <c r="P851" i="34"/>
  <c r="A851" i="34"/>
  <c r="P855" i="34"/>
  <c r="A855" i="34"/>
  <c r="P961" i="34"/>
  <c r="A961" i="34"/>
  <c r="X965" i="34"/>
  <c r="Q965" i="34"/>
  <c r="R965" i="34"/>
  <c r="V965" i="34"/>
  <c r="AA965" i="34"/>
  <c r="X973" i="34"/>
  <c r="Q973" i="34"/>
  <c r="R973" i="34"/>
  <c r="V973" i="34"/>
  <c r="AA973" i="34"/>
  <c r="R295" i="34"/>
  <c r="V295" i="34"/>
  <c r="AA295" i="34"/>
  <c r="X295" i="34"/>
  <c r="Q295" i="34"/>
  <c r="Q306" i="34"/>
  <c r="R306" i="34"/>
  <c r="V306" i="34"/>
  <c r="AA306" i="34"/>
  <c r="X306" i="34"/>
  <c r="Q310" i="34"/>
  <c r="R310" i="34"/>
  <c r="V310" i="34"/>
  <c r="AA310" i="34"/>
  <c r="X310" i="34"/>
  <c r="Q314" i="34"/>
  <c r="R314" i="34"/>
  <c r="V314" i="34"/>
  <c r="AA314" i="34"/>
  <c r="X314" i="34"/>
  <c r="Q318" i="34"/>
  <c r="R318" i="34"/>
  <c r="V318" i="34"/>
  <c r="AA318" i="34"/>
  <c r="X318" i="34"/>
  <c r="Q322" i="34"/>
  <c r="R322" i="34"/>
  <c r="V322" i="34"/>
  <c r="AA322" i="34"/>
  <c r="X322" i="34"/>
  <c r="Q558" i="34"/>
  <c r="R558" i="34"/>
  <c r="V558" i="34"/>
  <c r="AA558" i="34"/>
  <c r="X558" i="34"/>
  <c r="Q564" i="34"/>
  <c r="R564" i="34"/>
  <c r="V564" i="34"/>
  <c r="AA564" i="34"/>
  <c r="X564" i="34"/>
  <c r="AA941" i="34"/>
  <c r="X941" i="34"/>
  <c r="Q941" i="34"/>
  <c r="R941" i="34"/>
  <c r="V941" i="34"/>
  <c r="AA977" i="34"/>
  <c r="X977" i="34"/>
  <c r="Q977" i="34"/>
  <c r="R977" i="34"/>
  <c r="V977" i="34"/>
  <c r="AA328" i="34"/>
  <c r="X328" i="34"/>
  <c r="Q328" i="34"/>
  <c r="R328" i="34"/>
  <c r="V328" i="34"/>
  <c r="AA332" i="34"/>
  <c r="X332" i="34"/>
  <c r="Q332" i="34"/>
  <c r="R332" i="34"/>
  <c r="V332" i="34"/>
  <c r="AA336" i="34"/>
  <c r="X336" i="34"/>
  <c r="Q336" i="34"/>
  <c r="R336" i="34"/>
  <c r="V336" i="34"/>
  <c r="AA340" i="34"/>
  <c r="R340" i="34"/>
  <c r="V340" i="34"/>
  <c r="Q340" i="34"/>
  <c r="X340" i="34"/>
  <c r="AA407" i="34"/>
  <c r="X407" i="34"/>
  <c r="Q407" i="34"/>
  <c r="R407" i="34"/>
  <c r="V407" i="34"/>
  <c r="X418" i="34"/>
  <c r="Q418" i="34"/>
  <c r="R418" i="34"/>
  <c r="V418" i="34"/>
  <c r="AA418" i="34"/>
  <c r="AA774" i="34"/>
  <c r="X774" i="34"/>
  <c r="Q774" i="34"/>
  <c r="R774" i="34"/>
  <c r="V774" i="34"/>
  <c r="AA782" i="34"/>
  <c r="X782" i="34"/>
  <c r="Q782" i="34"/>
  <c r="R782" i="34"/>
  <c r="V782" i="34"/>
  <c r="AA786" i="34"/>
  <c r="X786" i="34"/>
  <c r="Q786" i="34"/>
  <c r="R786" i="34"/>
  <c r="V786" i="34"/>
  <c r="AA790" i="34"/>
  <c r="X790" i="34"/>
  <c r="Q790" i="34"/>
  <c r="R790" i="34"/>
  <c r="V790" i="34"/>
  <c r="AA794" i="34"/>
  <c r="X794" i="34"/>
  <c r="Q794" i="34"/>
  <c r="R794" i="34"/>
  <c r="V794" i="34"/>
  <c r="AA798" i="34"/>
  <c r="X798" i="34"/>
  <c r="Q798" i="34"/>
  <c r="R798" i="34"/>
  <c r="V798" i="34"/>
  <c r="AA802" i="34"/>
  <c r="X802" i="34"/>
  <c r="Q802" i="34"/>
  <c r="R802" i="34"/>
  <c r="V802" i="34"/>
  <c r="AA806" i="34"/>
  <c r="X806" i="34"/>
  <c r="Q806" i="34"/>
  <c r="R806" i="34"/>
  <c r="V806" i="34"/>
  <c r="AA810" i="34"/>
  <c r="X810" i="34"/>
  <c r="Q810" i="34"/>
  <c r="R810" i="34"/>
  <c r="V810" i="34"/>
  <c r="AA814" i="34"/>
  <c r="X814" i="34"/>
  <c r="Q814" i="34"/>
  <c r="R814" i="34"/>
  <c r="V814" i="34"/>
  <c r="AA818" i="34"/>
  <c r="X818" i="34"/>
  <c r="Q818" i="34"/>
  <c r="R818" i="34"/>
  <c r="V818" i="34"/>
  <c r="AA822" i="34"/>
  <c r="X822" i="34"/>
  <c r="Q822" i="34"/>
  <c r="R822" i="34"/>
  <c r="V822" i="34"/>
  <c r="AA826" i="34"/>
  <c r="X826" i="34"/>
  <c r="Q826" i="34"/>
  <c r="R826" i="34"/>
  <c r="V826" i="34"/>
  <c r="AA832" i="34"/>
  <c r="X832" i="34"/>
  <c r="Q832" i="34"/>
  <c r="R832" i="34"/>
  <c r="V832" i="34"/>
  <c r="AA836" i="34"/>
  <c r="X836" i="34"/>
  <c r="R836" i="34"/>
  <c r="V836" i="34"/>
  <c r="Q836" i="34"/>
  <c r="AA844" i="34"/>
  <c r="X844" i="34"/>
  <c r="R844" i="34"/>
  <c r="V844" i="34"/>
  <c r="Q844" i="34"/>
  <c r="AA848" i="34"/>
  <c r="R848" i="34"/>
  <c r="V848" i="34"/>
  <c r="Q848" i="34"/>
  <c r="X848" i="34"/>
  <c r="AA852" i="34"/>
  <c r="R852" i="34"/>
  <c r="V852" i="34"/>
  <c r="Q852" i="34"/>
  <c r="X852" i="34"/>
  <c r="AA856" i="34"/>
  <c r="R856" i="34"/>
  <c r="V856" i="34"/>
  <c r="Q856" i="34"/>
  <c r="X856" i="34"/>
  <c r="Q972" i="34"/>
  <c r="R972" i="34"/>
  <c r="V972" i="34"/>
  <c r="AA972" i="34"/>
  <c r="X972" i="34"/>
  <c r="Q292" i="34"/>
  <c r="R292" i="34"/>
  <c r="V292" i="34"/>
  <c r="AA292" i="34"/>
  <c r="X292" i="34"/>
  <c r="X303" i="34"/>
  <c r="Q303" i="34"/>
  <c r="R303" i="34"/>
  <c r="V303" i="34"/>
  <c r="AA303" i="34"/>
  <c r="X307" i="34"/>
  <c r="Q307" i="34"/>
  <c r="R307" i="34"/>
  <c r="V307" i="34"/>
  <c r="AA307" i="34"/>
  <c r="X311" i="34"/>
  <c r="Q311" i="34"/>
  <c r="R311" i="34"/>
  <c r="V311" i="34"/>
  <c r="AA311" i="34"/>
  <c r="X315" i="34"/>
  <c r="Q315" i="34"/>
  <c r="R315" i="34"/>
  <c r="V315" i="34"/>
  <c r="AA315" i="34"/>
  <c r="X319" i="34"/>
  <c r="Q319" i="34"/>
  <c r="R319" i="34"/>
  <c r="V319" i="34"/>
  <c r="AA319" i="34"/>
  <c r="X323" i="34"/>
  <c r="Q323" i="34"/>
  <c r="R323" i="34"/>
  <c r="V323" i="34"/>
  <c r="AA323" i="34"/>
  <c r="X559" i="34"/>
  <c r="Q559" i="34"/>
  <c r="R559" i="34"/>
  <c r="V559" i="34"/>
  <c r="AA559" i="34"/>
  <c r="X565" i="34"/>
  <c r="Q565" i="34"/>
  <c r="R565" i="34"/>
  <c r="V565" i="34"/>
  <c r="AA565" i="34"/>
  <c r="R974" i="34"/>
  <c r="V974" i="34"/>
  <c r="AA974" i="34"/>
  <c r="X974" i="34"/>
  <c r="Q974" i="34"/>
  <c r="R329" i="34"/>
  <c r="V329" i="34"/>
  <c r="AA329" i="34"/>
  <c r="X329" i="34"/>
  <c r="Q329" i="34"/>
  <c r="R333" i="34"/>
  <c r="V333" i="34"/>
  <c r="AA333" i="34"/>
  <c r="X333" i="34"/>
  <c r="Q333" i="34"/>
  <c r="R337" i="34"/>
  <c r="V337" i="34"/>
  <c r="AA337" i="34"/>
  <c r="Q337" i="34"/>
  <c r="X337" i="34"/>
  <c r="R341" i="34"/>
  <c r="V341" i="34"/>
  <c r="Q341" i="34"/>
  <c r="AA341" i="34"/>
  <c r="X341" i="34"/>
  <c r="R408" i="34"/>
  <c r="V408" i="34"/>
  <c r="AA408" i="34"/>
  <c r="X408" i="34"/>
  <c r="Q408" i="34"/>
  <c r="R757" i="34"/>
  <c r="V757" i="34"/>
  <c r="AA757" i="34"/>
  <c r="X757" i="34"/>
  <c r="Q757" i="34"/>
  <c r="R775" i="34"/>
  <c r="V775" i="34"/>
  <c r="AA775" i="34"/>
  <c r="X775" i="34"/>
  <c r="Q775" i="34"/>
  <c r="R783" i="34"/>
  <c r="V783" i="34"/>
  <c r="AA783" i="34"/>
  <c r="X783" i="34"/>
  <c r="Q783" i="34"/>
  <c r="R787" i="34"/>
  <c r="V787" i="34"/>
  <c r="AA787" i="34"/>
  <c r="X787" i="34"/>
  <c r="Q787" i="34"/>
  <c r="R791" i="34"/>
  <c r="V791" i="34"/>
  <c r="AA791" i="34"/>
  <c r="X791" i="34"/>
  <c r="Q791" i="34"/>
  <c r="R795" i="34"/>
  <c r="V795" i="34"/>
  <c r="AA795" i="34"/>
  <c r="X795" i="34"/>
  <c r="Q795" i="34"/>
  <c r="R799" i="34"/>
  <c r="V799" i="34"/>
  <c r="AA799" i="34"/>
  <c r="X799" i="34"/>
  <c r="Q799" i="34"/>
  <c r="R803" i="34"/>
  <c r="V803" i="34"/>
  <c r="AA803" i="34"/>
  <c r="X803" i="34"/>
  <c r="Q803" i="34"/>
  <c r="R807" i="34"/>
  <c r="V807" i="34"/>
  <c r="AA807" i="34"/>
  <c r="X807" i="34"/>
  <c r="Q807" i="34"/>
  <c r="R811" i="34"/>
  <c r="V811" i="34"/>
  <c r="AA811" i="34"/>
  <c r="X811" i="34"/>
  <c r="Q811" i="34"/>
  <c r="R815" i="34"/>
  <c r="V815" i="34"/>
  <c r="AA815" i="34"/>
  <c r="X815" i="34"/>
  <c r="Q815" i="34"/>
  <c r="R819" i="34"/>
  <c r="V819" i="34"/>
  <c r="AA819" i="34"/>
  <c r="X819" i="34"/>
  <c r="Q819" i="34"/>
  <c r="R823" i="34"/>
  <c r="V823" i="34"/>
  <c r="AA823" i="34"/>
  <c r="X823" i="34"/>
  <c r="Q823" i="34"/>
  <c r="R827" i="34"/>
  <c r="V827" i="34"/>
  <c r="AA827" i="34"/>
  <c r="X827" i="34"/>
  <c r="Q827" i="34"/>
  <c r="R833" i="34"/>
  <c r="V833" i="34"/>
  <c r="AA833" i="34"/>
  <c r="Q833" i="34"/>
  <c r="X833" i="34"/>
  <c r="R841" i="34"/>
  <c r="V841" i="34"/>
  <c r="AA841" i="34"/>
  <c r="Q841" i="34"/>
  <c r="X841" i="34"/>
  <c r="R845" i="34"/>
  <c r="V845" i="34"/>
  <c r="Q845" i="34"/>
  <c r="X845" i="34"/>
  <c r="AA845" i="34"/>
  <c r="R849" i="34"/>
  <c r="V849" i="34"/>
  <c r="Q849" i="34"/>
  <c r="X849" i="34"/>
  <c r="AA849" i="34"/>
  <c r="R853" i="34"/>
  <c r="V853" i="34"/>
  <c r="Q853" i="34"/>
  <c r="X853" i="34"/>
  <c r="AA853" i="34"/>
  <c r="R857" i="34"/>
  <c r="V857" i="34"/>
  <c r="Q857" i="34"/>
  <c r="X857" i="34"/>
  <c r="AA857" i="34"/>
  <c r="AA966" i="34"/>
  <c r="X966" i="34"/>
  <c r="Q966" i="34"/>
  <c r="R966" i="34"/>
  <c r="V966" i="34"/>
  <c r="X293" i="34"/>
  <c r="Q293" i="34"/>
  <c r="R293" i="34"/>
  <c r="V293" i="34"/>
  <c r="AA293" i="34"/>
  <c r="AA304" i="34"/>
  <c r="X304" i="34"/>
  <c r="Q304" i="34"/>
  <c r="R304" i="34"/>
  <c r="V304" i="34"/>
  <c r="AA308" i="34"/>
  <c r="X308" i="34"/>
  <c r="Q308" i="34"/>
  <c r="R308" i="34"/>
  <c r="V308" i="34"/>
  <c r="AA312" i="34"/>
  <c r="X312" i="34"/>
  <c r="Q312" i="34"/>
  <c r="R312" i="34"/>
  <c r="V312" i="34"/>
  <c r="AA316" i="34"/>
  <c r="X316" i="34"/>
  <c r="Q316" i="34"/>
  <c r="R316" i="34"/>
  <c r="V316" i="34"/>
  <c r="AA320" i="34"/>
  <c r="X320" i="34"/>
  <c r="Q320" i="34"/>
  <c r="R320" i="34"/>
  <c r="V320" i="34"/>
  <c r="AA324" i="34"/>
  <c r="X324" i="34"/>
  <c r="Q324" i="34"/>
  <c r="R324" i="34"/>
  <c r="V324" i="34"/>
  <c r="AA560" i="34"/>
  <c r="X560" i="34"/>
  <c r="Q560" i="34"/>
  <c r="R560" i="34"/>
  <c r="V560" i="34"/>
  <c r="R635" i="34"/>
  <c r="V635" i="34"/>
  <c r="AA635" i="34"/>
  <c r="X635" i="34"/>
  <c r="Q635" i="34"/>
  <c r="Q975" i="34"/>
  <c r="R975" i="34"/>
  <c r="V975" i="34"/>
  <c r="AA975" i="34"/>
  <c r="X975" i="34"/>
  <c r="Q330" i="34"/>
  <c r="R330" i="34"/>
  <c r="V330" i="34"/>
  <c r="AA330" i="34"/>
  <c r="X330" i="34"/>
  <c r="Q334" i="34"/>
  <c r="R334" i="34"/>
  <c r="V334" i="34"/>
  <c r="AA334" i="34"/>
  <c r="X334" i="34"/>
  <c r="Q338" i="34"/>
  <c r="R338" i="34"/>
  <c r="V338" i="34"/>
  <c r="X338" i="34"/>
  <c r="AA338" i="34"/>
  <c r="Q342" i="34"/>
  <c r="AA342" i="34"/>
  <c r="X342" i="34"/>
  <c r="R342" i="34"/>
  <c r="V342" i="34"/>
  <c r="Q409" i="34"/>
  <c r="R409" i="34"/>
  <c r="V409" i="34"/>
  <c r="AA409" i="34"/>
  <c r="X409" i="34"/>
  <c r="Q758" i="34"/>
  <c r="R758" i="34"/>
  <c r="V758" i="34"/>
  <c r="AA758" i="34"/>
  <c r="X758" i="34"/>
  <c r="Q780" i="34"/>
  <c r="R780" i="34"/>
  <c r="V780" i="34"/>
  <c r="AA780" i="34"/>
  <c r="X780" i="34"/>
  <c r="Q784" i="34"/>
  <c r="R784" i="34"/>
  <c r="V784" i="34"/>
  <c r="AA784" i="34"/>
  <c r="X784" i="34"/>
  <c r="Q788" i="34"/>
  <c r="R788" i="34"/>
  <c r="V788" i="34"/>
  <c r="AA788" i="34"/>
  <c r="X788" i="34"/>
  <c r="Q792" i="34"/>
  <c r="R792" i="34"/>
  <c r="V792" i="34"/>
  <c r="AA792" i="34"/>
  <c r="X792" i="34"/>
  <c r="Q796" i="34"/>
  <c r="R796" i="34"/>
  <c r="V796" i="34"/>
  <c r="AA796" i="34"/>
  <c r="X796" i="34"/>
  <c r="Q800" i="34"/>
  <c r="R800" i="34"/>
  <c r="V800" i="34"/>
  <c r="AA800" i="34"/>
  <c r="X800" i="34"/>
  <c r="Q804" i="34"/>
  <c r="R804" i="34"/>
  <c r="V804" i="34"/>
  <c r="AA804" i="34"/>
  <c r="X804" i="34"/>
  <c r="Q808" i="34"/>
  <c r="R808" i="34"/>
  <c r="V808" i="34"/>
  <c r="AA808" i="34"/>
  <c r="X808" i="34"/>
  <c r="Q812" i="34"/>
  <c r="R812" i="34"/>
  <c r="V812" i="34"/>
  <c r="AA812" i="34"/>
  <c r="X812" i="34"/>
  <c r="Q816" i="34"/>
  <c r="R816" i="34"/>
  <c r="V816" i="34"/>
  <c r="AA816" i="34"/>
  <c r="X816" i="34"/>
  <c r="Q820" i="34"/>
  <c r="R820" i="34"/>
  <c r="V820" i="34"/>
  <c r="AA820" i="34"/>
  <c r="X820" i="34"/>
  <c r="Q824" i="34"/>
  <c r="R824" i="34"/>
  <c r="V824" i="34"/>
  <c r="AA824" i="34"/>
  <c r="X824" i="34"/>
  <c r="Q830" i="34"/>
  <c r="R830" i="34"/>
  <c r="V830" i="34"/>
  <c r="AA830" i="34"/>
  <c r="X830" i="34"/>
  <c r="Q834" i="34"/>
  <c r="R834" i="34"/>
  <c r="V834" i="34"/>
  <c r="X834" i="34"/>
  <c r="AA834" i="34"/>
  <c r="Q842" i="34"/>
  <c r="R842" i="34"/>
  <c r="V842" i="34"/>
  <c r="X842" i="34"/>
  <c r="AA842" i="34"/>
  <c r="Q846" i="34"/>
  <c r="X846" i="34"/>
  <c r="R846" i="34"/>
  <c r="V846" i="34"/>
  <c r="AA846" i="34"/>
  <c r="Q850" i="34"/>
  <c r="X850" i="34"/>
  <c r="R850" i="34"/>
  <c r="V850" i="34"/>
  <c r="AA850" i="34"/>
  <c r="Q854" i="34"/>
  <c r="X854" i="34"/>
  <c r="R854" i="34"/>
  <c r="V854" i="34"/>
  <c r="AA854" i="34"/>
  <c r="Q858" i="34"/>
  <c r="X858" i="34"/>
  <c r="R858" i="34"/>
  <c r="V858" i="34"/>
  <c r="AA858" i="34"/>
  <c r="R967" i="34"/>
  <c r="V967" i="34"/>
  <c r="AA967" i="34"/>
  <c r="X967" i="34"/>
  <c r="Q967" i="34"/>
  <c r="R971" i="34"/>
  <c r="V971" i="34"/>
  <c r="AA971" i="34"/>
  <c r="X971" i="34"/>
  <c r="Q971" i="34"/>
  <c r="AA294" i="34"/>
  <c r="X294" i="34"/>
  <c r="Q294" i="34"/>
  <c r="R294" i="34"/>
  <c r="V294" i="34"/>
  <c r="R305" i="34"/>
  <c r="V305" i="34"/>
  <c r="AA305" i="34"/>
  <c r="X305" i="34"/>
  <c r="Q305" i="34"/>
  <c r="R309" i="34"/>
  <c r="V309" i="34"/>
  <c r="AA309" i="34"/>
  <c r="X309" i="34"/>
  <c r="Q309" i="34"/>
  <c r="R313" i="34"/>
  <c r="V313" i="34"/>
  <c r="AA313" i="34"/>
  <c r="X313" i="34"/>
  <c r="Q313" i="34"/>
  <c r="R317" i="34"/>
  <c r="V317" i="34"/>
  <c r="AA317" i="34"/>
  <c r="X317" i="34"/>
  <c r="Q317" i="34"/>
  <c r="R321" i="34"/>
  <c r="V321" i="34"/>
  <c r="AA321" i="34"/>
  <c r="X321" i="34"/>
  <c r="Q321" i="34"/>
  <c r="R557" i="34"/>
  <c r="V557" i="34"/>
  <c r="AA557" i="34"/>
  <c r="X557" i="34"/>
  <c r="Q557" i="34"/>
  <c r="R561" i="34"/>
  <c r="V561" i="34"/>
  <c r="AA561" i="34"/>
  <c r="X561" i="34"/>
  <c r="Q561" i="34"/>
  <c r="Q651" i="34"/>
  <c r="R651" i="34"/>
  <c r="V651" i="34"/>
  <c r="AA651" i="34"/>
  <c r="X651" i="34"/>
  <c r="X976" i="34"/>
  <c r="Q976" i="34"/>
  <c r="R976" i="34"/>
  <c r="V976" i="34"/>
  <c r="AA976" i="34"/>
  <c r="X327" i="34"/>
  <c r="Q327" i="34"/>
  <c r="R327" i="34"/>
  <c r="V327" i="34"/>
  <c r="AA327" i="34"/>
  <c r="X331" i="34"/>
  <c r="Q331" i="34"/>
  <c r="R331" i="34"/>
  <c r="V331" i="34"/>
  <c r="AA331" i="34"/>
  <c r="X335" i="34"/>
  <c r="Q335" i="34"/>
  <c r="R335" i="34"/>
  <c r="V335" i="34"/>
  <c r="AA335" i="34"/>
  <c r="X339" i="34"/>
  <c r="Q339" i="34"/>
  <c r="AA339" i="34"/>
  <c r="R339" i="34"/>
  <c r="V339" i="34"/>
  <c r="AA343" i="34"/>
  <c r="X343" i="34"/>
  <c r="Q343" i="34"/>
  <c r="R343" i="34"/>
  <c r="V343" i="34"/>
  <c r="Q417" i="34"/>
  <c r="R417" i="34"/>
  <c r="V417" i="34"/>
  <c r="AA417" i="34"/>
  <c r="X417" i="34"/>
  <c r="X759" i="34"/>
  <c r="Q759" i="34"/>
  <c r="R759" i="34"/>
  <c r="V759" i="34"/>
  <c r="AA759" i="34"/>
  <c r="X781" i="34"/>
  <c r="Q781" i="34"/>
  <c r="R781" i="34"/>
  <c r="V781" i="34"/>
  <c r="AA781" i="34"/>
  <c r="X785" i="34"/>
  <c r="Q785" i="34"/>
  <c r="R785" i="34"/>
  <c r="V785" i="34"/>
  <c r="AA785" i="34"/>
  <c r="X789" i="34"/>
  <c r="Q789" i="34"/>
  <c r="R789" i="34"/>
  <c r="V789" i="34"/>
  <c r="AA789" i="34"/>
  <c r="X793" i="34"/>
  <c r="Q793" i="34"/>
  <c r="R793" i="34"/>
  <c r="V793" i="34"/>
  <c r="AA793" i="34"/>
  <c r="X797" i="34"/>
  <c r="Q797" i="34"/>
  <c r="R797" i="34"/>
  <c r="V797" i="34"/>
  <c r="AA797" i="34"/>
  <c r="X801" i="34"/>
  <c r="Q801" i="34"/>
  <c r="R801" i="34"/>
  <c r="V801" i="34"/>
  <c r="AA801" i="34"/>
  <c r="X805" i="34"/>
  <c r="Q805" i="34"/>
  <c r="R805" i="34"/>
  <c r="V805" i="34"/>
  <c r="AA805" i="34"/>
  <c r="X809" i="34"/>
  <c r="Q809" i="34"/>
  <c r="R809" i="34"/>
  <c r="V809" i="34"/>
  <c r="AA809" i="34"/>
  <c r="X813" i="34"/>
  <c r="Q813" i="34"/>
  <c r="R813" i="34"/>
  <c r="V813" i="34"/>
  <c r="AA813" i="34"/>
  <c r="X817" i="34"/>
  <c r="Q817" i="34"/>
  <c r="R817" i="34"/>
  <c r="V817" i="34"/>
  <c r="AA817" i="34"/>
  <c r="X821" i="34"/>
  <c r="Q821" i="34"/>
  <c r="R821" i="34"/>
  <c r="V821" i="34"/>
  <c r="AA821" i="34"/>
  <c r="X825" i="34"/>
  <c r="Q825" i="34"/>
  <c r="R825" i="34"/>
  <c r="V825" i="34"/>
  <c r="AA825" i="34"/>
  <c r="X831" i="34"/>
  <c r="Q831" i="34"/>
  <c r="R831" i="34"/>
  <c r="V831" i="34"/>
  <c r="AA831" i="34"/>
  <c r="X835" i="34"/>
  <c r="Q835" i="34"/>
  <c r="AA835" i="34"/>
  <c r="R835" i="34"/>
  <c r="V835" i="34"/>
  <c r="X843" i="34"/>
  <c r="Q843" i="34"/>
  <c r="AA843" i="34"/>
  <c r="R843" i="34"/>
  <c r="V843" i="34"/>
  <c r="X847" i="34"/>
  <c r="AA847" i="34"/>
  <c r="R847" i="34"/>
  <c r="V847" i="34"/>
  <c r="Q847" i="34"/>
  <c r="X851" i="34"/>
  <c r="AA851" i="34"/>
  <c r="R851" i="34"/>
  <c r="V851" i="34"/>
  <c r="Q851" i="34"/>
  <c r="X855" i="34"/>
  <c r="AA855" i="34"/>
  <c r="R855" i="34"/>
  <c r="V855" i="34"/>
  <c r="Q855" i="34"/>
  <c r="X961" i="34"/>
  <c r="Q961" i="34"/>
  <c r="R961" i="34"/>
  <c r="V961" i="34"/>
  <c r="AA961" i="34"/>
  <c r="B958" i="34" l="1"/>
  <c r="B662" i="34"/>
  <c r="B413" i="34"/>
  <c r="B400" i="34"/>
  <c r="P400" i="34" l="1"/>
  <c r="A400" i="34"/>
  <c r="P662" i="34"/>
  <c r="A662" i="34"/>
  <c r="P413" i="34"/>
  <c r="A413" i="34"/>
  <c r="P958" i="34"/>
  <c r="A958" i="34"/>
  <c r="Q413" i="34"/>
  <c r="R413" i="34"/>
  <c r="V413" i="34"/>
  <c r="AA413" i="34"/>
  <c r="X413" i="34"/>
  <c r="X662" i="34"/>
  <c r="Q662" i="34"/>
  <c r="R662" i="34"/>
  <c r="V662" i="34"/>
  <c r="AA662" i="34"/>
  <c r="R400" i="34"/>
  <c r="V400" i="34"/>
  <c r="AA400" i="34"/>
  <c r="X400" i="34"/>
  <c r="Q400" i="34"/>
  <c r="AA958" i="34"/>
  <c r="X958" i="34"/>
  <c r="Q958" i="34"/>
  <c r="R958" i="34"/>
  <c r="V958" i="34"/>
  <c r="E31" i="55"/>
  <c r="B883" i="34" l="1"/>
  <c r="B873" i="34"/>
  <c r="B865" i="34"/>
  <c r="B369" i="34"/>
  <c r="B364" i="34"/>
  <c r="B352" i="34"/>
  <c r="P369" i="34" l="1"/>
  <c r="A369" i="34"/>
  <c r="P865" i="34"/>
  <c r="A865" i="34"/>
  <c r="P352" i="34"/>
  <c r="A352" i="34"/>
  <c r="P873" i="34"/>
  <c r="A873" i="34"/>
  <c r="P364" i="34"/>
  <c r="A364" i="34"/>
  <c r="P883" i="34"/>
  <c r="A883" i="34"/>
  <c r="R865" i="34"/>
  <c r="V865" i="34"/>
  <c r="AA865" i="34"/>
  <c r="X865" i="34"/>
  <c r="Q865" i="34"/>
  <c r="R352" i="34"/>
  <c r="V352" i="34"/>
  <c r="AA352" i="34"/>
  <c r="X352" i="34"/>
  <c r="Q352" i="34"/>
  <c r="X873" i="34"/>
  <c r="Q873" i="34"/>
  <c r="R873" i="34"/>
  <c r="V873" i="34"/>
  <c r="AA873" i="34"/>
  <c r="R364" i="34"/>
  <c r="V364" i="34"/>
  <c r="AA364" i="34"/>
  <c r="X364" i="34"/>
  <c r="Q364" i="34"/>
  <c r="R883" i="34"/>
  <c r="V883" i="34"/>
  <c r="AA883" i="34"/>
  <c r="X883" i="34"/>
  <c r="Q883" i="34"/>
  <c r="Q369" i="34"/>
  <c r="R369" i="34"/>
  <c r="V369" i="34"/>
  <c r="AA369" i="34"/>
  <c r="X369" i="34"/>
  <c r="B326" i="34"/>
  <c r="B637" i="34"/>
  <c r="B624" i="34"/>
  <c r="P637" i="34" l="1"/>
  <c r="A637" i="34"/>
  <c r="P326" i="34"/>
  <c r="A326" i="34"/>
  <c r="P624" i="34"/>
  <c r="A624" i="34"/>
  <c r="AA637" i="34"/>
  <c r="X637" i="34"/>
  <c r="Q637" i="34"/>
  <c r="R637" i="34"/>
  <c r="V637" i="34"/>
  <c r="R326" i="34"/>
  <c r="V326" i="34"/>
  <c r="Q326" i="34"/>
  <c r="AA326" i="34"/>
  <c r="X326" i="34"/>
  <c r="R624" i="34"/>
  <c r="V624" i="34"/>
  <c r="AA624" i="34"/>
  <c r="X624" i="34"/>
  <c r="Q624" i="34"/>
  <c r="B475" i="34"/>
  <c r="B453" i="34"/>
  <c r="B91" i="34"/>
  <c r="B86" i="34"/>
  <c r="B152" i="34"/>
  <c r="B185" i="34"/>
  <c r="B483" i="34"/>
  <c r="B597" i="34"/>
  <c r="AA91" i="34" l="1"/>
  <c r="V91" i="34"/>
  <c r="R91" i="34"/>
  <c r="Q91" i="34"/>
  <c r="P91" i="34"/>
  <c r="X91" i="34"/>
  <c r="X152" i="34"/>
  <c r="P152" i="34"/>
  <c r="AA152" i="34"/>
  <c r="V152" i="34"/>
  <c r="R152" i="34"/>
  <c r="Q152" i="34"/>
  <c r="A91" i="34"/>
  <c r="P185" i="34"/>
  <c r="A185" i="34"/>
  <c r="P453" i="34"/>
  <c r="A453" i="34"/>
  <c r="P483" i="34"/>
  <c r="A483" i="34"/>
  <c r="P475" i="34"/>
  <c r="A475" i="34"/>
  <c r="A152" i="34"/>
  <c r="P597" i="34"/>
  <c r="A597" i="34"/>
  <c r="P86" i="34"/>
  <c r="A86" i="34"/>
  <c r="AA597" i="34"/>
  <c r="R597" i="34"/>
  <c r="V597" i="34"/>
  <c r="Q597" i="34"/>
  <c r="X597" i="34"/>
  <c r="R475" i="34"/>
  <c r="V475" i="34"/>
  <c r="Q475" i="34"/>
  <c r="AA475" i="34"/>
  <c r="X475" i="34"/>
  <c r="AA483" i="34"/>
  <c r="X483" i="34"/>
  <c r="Q483" i="34"/>
  <c r="R483" i="34"/>
  <c r="V483" i="34"/>
  <c r="AA185" i="34"/>
  <c r="X185" i="34"/>
  <c r="Q185" i="34"/>
  <c r="R185" i="34"/>
  <c r="V185" i="34"/>
  <c r="AA453" i="34"/>
  <c r="X453" i="34"/>
  <c r="Q453" i="34"/>
  <c r="R453" i="34"/>
  <c r="V453" i="34"/>
  <c r="R86" i="34"/>
  <c r="V86" i="34"/>
  <c r="AA86" i="34"/>
  <c r="X86" i="34"/>
  <c r="Q86" i="34"/>
  <c r="O5" i="78"/>
  <c r="N5" i="78"/>
  <c r="B137" i="34"/>
  <c r="B132" i="34"/>
  <c r="X132" i="34" l="1"/>
  <c r="AA132" i="34"/>
  <c r="V132" i="34"/>
  <c r="R132" i="34"/>
  <c r="Q132" i="34"/>
  <c r="P132" i="34"/>
  <c r="A132" i="34"/>
  <c r="P137" i="34"/>
  <c r="A137" i="34"/>
  <c r="AA137" i="34"/>
  <c r="X137" i="34"/>
  <c r="Q137" i="34"/>
  <c r="R137" i="34"/>
  <c r="V137" i="34"/>
  <c r="B195" i="34"/>
  <c r="B194" i="34"/>
  <c r="B193" i="34"/>
  <c r="B192" i="34"/>
  <c r="B191" i="34"/>
  <c r="B190" i="34"/>
  <c r="B183" i="34"/>
  <c r="B182" i="34"/>
  <c r="B181" i="34"/>
  <c r="B180" i="34"/>
  <c r="B176" i="34"/>
  <c r="B175" i="34"/>
  <c r="B174" i="34"/>
  <c r="B173" i="34"/>
  <c r="B172" i="34"/>
  <c r="B171" i="34"/>
  <c r="B170" i="34"/>
  <c r="B169" i="34"/>
  <c r="B168" i="34"/>
  <c r="B149" i="34"/>
  <c r="B148" i="34"/>
  <c r="B147" i="34"/>
  <c r="B146" i="34"/>
  <c r="B145" i="34"/>
  <c r="B144" i="34"/>
  <c r="B143" i="34"/>
  <c r="B142" i="34"/>
  <c r="B139" i="34"/>
  <c r="B138" i="34"/>
  <c r="B136" i="34"/>
  <c r="B133" i="34"/>
  <c r="B131" i="34"/>
  <c r="B130" i="34"/>
  <c r="B129" i="34"/>
  <c r="B623" i="34"/>
  <c r="B622" i="34"/>
  <c r="B621" i="34"/>
  <c r="B596" i="34"/>
  <c r="B595" i="34"/>
  <c r="B594" i="34"/>
  <c r="B593" i="34"/>
  <c r="B592" i="34"/>
  <c r="B591" i="34"/>
  <c r="B590" i="34"/>
  <c r="B589" i="34"/>
  <c r="B577" i="34"/>
  <c r="B576" i="34"/>
  <c r="B575" i="34"/>
  <c r="B574" i="34"/>
  <c r="B573" i="34"/>
  <c r="B570" i="34"/>
  <c r="B569" i="34"/>
  <c r="B568" i="34"/>
  <c r="B567" i="34"/>
  <c r="B562" i="34"/>
  <c r="B556" i="34"/>
  <c r="B555" i="34"/>
  <c r="B554" i="34"/>
  <c r="B553" i="34"/>
  <c r="B552" i="34"/>
  <c r="B551" i="34"/>
  <c r="B550" i="34"/>
  <c r="B549" i="34"/>
  <c r="B537" i="34"/>
  <c r="B536" i="34"/>
  <c r="B535" i="34"/>
  <c r="B534" i="34"/>
  <c r="B533" i="34"/>
  <c r="B532" i="34"/>
  <c r="B531" i="34"/>
  <c r="B530" i="34"/>
  <c r="B509" i="34"/>
  <c r="B508" i="34"/>
  <c r="B507" i="34"/>
  <c r="B506" i="34"/>
  <c r="B505" i="34"/>
  <c r="B504" i="34"/>
  <c r="B503" i="34"/>
  <c r="B502" i="34"/>
  <c r="B501" i="34"/>
  <c r="B472" i="34"/>
  <c r="B471" i="34"/>
  <c r="B470" i="34"/>
  <c r="B469" i="34"/>
  <c r="B468" i="34"/>
  <c r="B467" i="34"/>
  <c r="B466" i="34"/>
  <c r="B465" i="34"/>
  <c r="B431" i="34"/>
  <c r="B430" i="34"/>
  <c r="B429" i="34"/>
  <c r="B428" i="34"/>
  <c r="B427" i="34"/>
  <c r="B426" i="34"/>
  <c r="B425" i="34"/>
  <c r="B424" i="34"/>
  <c r="B423" i="34"/>
  <c r="B396" i="34"/>
  <c r="B395" i="34"/>
  <c r="B394" i="34"/>
  <c r="B393" i="34"/>
  <c r="B392" i="34"/>
  <c r="B391" i="34"/>
  <c r="B390" i="34"/>
  <c r="B389" i="34"/>
  <c r="B388" i="34"/>
  <c r="B665" i="34"/>
  <c r="B664" i="34"/>
  <c r="B652" i="34"/>
  <c r="B634" i="34"/>
  <c r="B585" i="34"/>
  <c r="B584" i="34"/>
  <c r="B572" i="34"/>
  <c r="B571" i="34"/>
  <c r="B247" i="34"/>
  <c r="B246" i="34"/>
  <c r="B245" i="34"/>
  <c r="B244" i="34"/>
  <c r="B243" i="34"/>
  <c r="B242" i="34"/>
  <c r="B241" i="34"/>
  <c r="B240" i="34"/>
  <c r="B239" i="34"/>
  <c r="B224" i="34"/>
  <c r="B223" i="34"/>
  <c r="B222" i="34"/>
  <c r="B221" i="34"/>
  <c r="B220" i="34"/>
  <c r="B219" i="34"/>
  <c r="B218" i="34"/>
  <c r="B217" i="34"/>
  <c r="B216" i="34"/>
  <c r="B212" i="34"/>
  <c r="B211" i="34"/>
  <c r="B210" i="34"/>
  <c r="B209" i="34"/>
  <c r="B208" i="34"/>
  <c r="B207" i="34"/>
  <c r="B206" i="34"/>
  <c r="B205" i="34"/>
  <c r="B204" i="34"/>
  <c r="A204" i="34" s="1"/>
  <c r="B198" i="34"/>
  <c r="B197" i="34"/>
  <c r="B196" i="34"/>
  <c r="B895" i="34"/>
  <c r="B894" i="34"/>
  <c r="B893" i="34"/>
  <c r="B892" i="34"/>
  <c r="B891" i="34"/>
  <c r="B888" i="34"/>
  <c r="B887" i="34"/>
  <c r="B886" i="34"/>
  <c r="B885" i="34"/>
  <c r="B884" i="34"/>
  <c r="B349" i="34"/>
  <c r="B348" i="34"/>
  <c r="B347" i="34"/>
  <c r="B346" i="34"/>
  <c r="B345" i="34"/>
  <c r="B344" i="34"/>
  <c r="B712" i="34"/>
  <c r="B711" i="34"/>
  <c r="B704" i="34"/>
  <c r="B518" i="34"/>
  <c r="B517" i="34"/>
  <c r="B516" i="34"/>
  <c r="B490" i="34"/>
  <c r="B489" i="34"/>
  <c r="B488" i="34"/>
  <c r="B444" i="34"/>
  <c r="B443" i="34"/>
  <c r="B442" i="34"/>
  <c r="B441" i="34"/>
  <c r="B440" i="34"/>
  <c r="B439" i="34"/>
  <c r="B438" i="34"/>
  <c r="B437" i="34"/>
  <c r="B436" i="34"/>
  <c r="B435" i="34"/>
  <c r="B748" i="34"/>
  <c r="B695" i="34"/>
  <c r="B694" i="34"/>
  <c r="B693" i="34"/>
  <c r="B692" i="34"/>
  <c r="B691" i="34"/>
  <c r="B690" i="34"/>
  <c r="B678" i="34"/>
  <c r="B677" i="34"/>
  <c r="B672" i="34"/>
  <c r="B671" i="34"/>
  <c r="B667" i="34"/>
  <c r="B666" i="34"/>
  <c r="B642" i="34"/>
  <c r="B641" i="34"/>
  <c r="B640" i="34"/>
  <c r="B639" i="34"/>
  <c r="B638" i="34"/>
  <c r="B882" i="34"/>
  <c r="B881" i="34"/>
  <c r="B876" i="34"/>
  <c r="B875" i="34"/>
  <c r="B874" i="34"/>
  <c r="B872" i="34"/>
  <c r="B871" i="34"/>
  <c r="B868" i="34"/>
  <c r="B867" i="34"/>
  <c r="B866" i="34"/>
  <c r="B864" i="34"/>
  <c r="B863" i="34"/>
  <c r="B862" i="34"/>
  <c r="B861" i="34"/>
  <c r="B860" i="34"/>
  <c r="B859" i="34"/>
  <c r="B420" i="34"/>
  <c r="B419" i="34"/>
  <c r="B412" i="34"/>
  <c r="B411" i="34"/>
  <c r="B410" i="34"/>
  <c r="B387" i="34"/>
  <c r="B386" i="34"/>
  <c r="B385" i="34"/>
  <c r="B384" i="34"/>
  <c r="B383" i="34"/>
  <c r="B382" i="34"/>
  <c r="B381" i="34"/>
  <c r="B380" i="34"/>
  <c r="B379" i="34"/>
  <c r="B378" i="34"/>
  <c r="B377" i="34"/>
  <c r="B376" i="34"/>
  <c r="B375" i="34"/>
  <c r="B374" i="34"/>
  <c r="B373" i="34"/>
  <c r="B372" i="34"/>
  <c r="B371" i="34"/>
  <c r="B370" i="34"/>
  <c r="B368" i="34"/>
  <c r="B367" i="34"/>
  <c r="B366" i="34"/>
  <c r="B365" i="34"/>
  <c r="B363" i="34"/>
  <c r="B362" i="34"/>
  <c r="B361" i="34"/>
  <c r="B360" i="34"/>
  <c r="B359" i="34"/>
  <c r="B358" i="34"/>
  <c r="B357" i="34"/>
  <c r="B356" i="34"/>
  <c r="B355" i="34"/>
  <c r="B354" i="34"/>
  <c r="B353" i="34"/>
  <c r="B351" i="34"/>
  <c r="B350" i="34"/>
  <c r="B325" i="34"/>
  <c r="B749" i="34"/>
  <c r="B636" i="34"/>
  <c r="B625" i="34"/>
  <c r="B969" i="34"/>
  <c r="B968" i="34"/>
  <c r="B964" i="34"/>
  <c r="B963" i="34"/>
  <c r="B962" i="34"/>
  <c r="B950" i="34"/>
  <c r="B949" i="34"/>
  <c r="B948" i="34"/>
  <c r="B947" i="34"/>
  <c r="B946" i="34"/>
  <c r="B945" i="34"/>
  <c r="B944" i="34"/>
  <c r="B943" i="34"/>
  <c r="B942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19" i="34"/>
  <c r="B918" i="34"/>
  <c r="B921" i="34"/>
  <c r="B920" i="34"/>
  <c r="B917" i="34"/>
  <c r="B916" i="34"/>
  <c r="B915" i="34"/>
  <c r="B914" i="34"/>
  <c r="B913" i="34"/>
  <c r="B912" i="34"/>
  <c r="B911" i="34"/>
  <c r="B910" i="34"/>
  <c r="B909" i="34"/>
  <c r="B908" i="34"/>
  <c r="B907" i="34"/>
  <c r="B906" i="34"/>
  <c r="B905" i="34"/>
  <c r="B904" i="34"/>
  <c r="B903" i="34"/>
  <c r="B902" i="34"/>
  <c r="B901" i="34"/>
  <c r="B900" i="34"/>
  <c r="V139" i="34" l="1"/>
  <c r="R139" i="34"/>
  <c r="Q139" i="34"/>
  <c r="X139" i="34"/>
  <c r="P139" i="34"/>
  <c r="AA139" i="34"/>
  <c r="Q145" i="34"/>
  <c r="X145" i="34"/>
  <c r="P145" i="34"/>
  <c r="AA145" i="34"/>
  <c r="V145" i="34"/>
  <c r="R145" i="34"/>
  <c r="R149" i="34"/>
  <c r="Q149" i="34"/>
  <c r="X149" i="34"/>
  <c r="AA149" i="34"/>
  <c r="V149" i="34"/>
  <c r="P149" i="34"/>
  <c r="AA142" i="34"/>
  <c r="V142" i="34"/>
  <c r="R142" i="34"/>
  <c r="Q142" i="34"/>
  <c r="X142" i="34"/>
  <c r="P142" i="34"/>
  <c r="AA146" i="34"/>
  <c r="V146" i="34"/>
  <c r="R146" i="34"/>
  <c r="Q146" i="34"/>
  <c r="X146" i="34"/>
  <c r="P146" i="34"/>
  <c r="Q129" i="34"/>
  <c r="P129" i="34"/>
  <c r="X129" i="34"/>
  <c r="AA129" i="34"/>
  <c r="V129" i="34"/>
  <c r="R129" i="34"/>
  <c r="Q143" i="34"/>
  <c r="X143" i="34"/>
  <c r="P143" i="34"/>
  <c r="AA143" i="34"/>
  <c r="V143" i="34"/>
  <c r="R143" i="34"/>
  <c r="P130" i="34"/>
  <c r="X130" i="34"/>
  <c r="AA130" i="34"/>
  <c r="V130" i="34"/>
  <c r="R130" i="34"/>
  <c r="Q130" i="34"/>
  <c r="X138" i="34"/>
  <c r="P138" i="34"/>
  <c r="AA138" i="34"/>
  <c r="V138" i="34"/>
  <c r="R138" i="34"/>
  <c r="Q138" i="34"/>
  <c r="AA144" i="34"/>
  <c r="V144" i="34"/>
  <c r="R144" i="34"/>
  <c r="Q144" i="34"/>
  <c r="X144" i="34"/>
  <c r="P144" i="34"/>
  <c r="X133" i="34"/>
  <c r="AA133" i="34"/>
  <c r="V133" i="34"/>
  <c r="R133" i="34"/>
  <c r="Q133" i="34"/>
  <c r="P133" i="34"/>
  <c r="AA136" i="34"/>
  <c r="V136" i="34"/>
  <c r="R136" i="34"/>
  <c r="Q136" i="34"/>
  <c r="X136" i="34"/>
  <c r="P136" i="34"/>
  <c r="P900" i="34"/>
  <c r="A900" i="34"/>
  <c r="P904" i="34"/>
  <c r="A904" i="34"/>
  <c r="P908" i="34"/>
  <c r="A908" i="34"/>
  <c r="P912" i="34"/>
  <c r="A912" i="34"/>
  <c r="P916" i="34"/>
  <c r="A916" i="34"/>
  <c r="P918" i="34"/>
  <c r="A918" i="34"/>
  <c r="P924" i="34"/>
  <c r="A924" i="34"/>
  <c r="P928" i="34"/>
  <c r="A928" i="34"/>
  <c r="P932" i="34"/>
  <c r="A932" i="34"/>
  <c r="P936" i="34"/>
  <c r="A936" i="34"/>
  <c r="P942" i="34"/>
  <c r="A942" i="34"/>
  <c r="P946" i="34"/>
  <c r="A946" i="34"/>
  <c r="P950" i="34"/>
  <c r="A950" i="34"/>
  <c r="P625" i="34"/>
  <c r="A625" i="34"/>
  <c r="P350" i="34"/>
  <c r="A350" i="34"/>
  <c r="P355" i="34"/>
  <c r="A355" i="34"/>
  <c r="P359" i="34"/>
  <c r="A359" i="34"/>
  <c r="P363" i="34"/>
  <c r="A363" i="34"/>
  <c r="P368" i="34"/>
  <c r="A368" i="34"/>
  <c r="P373" i="34"/>
  <c r="A373" i="34"/>
  <c r="P377" i="34"/>
  <c r="A377" i="34"/>
  <c r="P381" i="34"/>
  <c r="A381" i="34"/>
  <c r="P385" i="34"/>
  <c r="A385" i="34"/>
  <c r="P411" i="34"/>
  <c r="A411" i="34"/>
  <c r="P859" i="34"/>
  <c r="A859" i="34"/>
  <c r="P863" i="34"/>
  <c r="A863" i="34"/>
  <c r="P868" i="34"/>
  <c r="A868" i="34"/>
  <c r="P875" i="34"/>
  <c r="A875" i="34"/>
  <c r="P638" i="34"/>
  <c r="A638" i="34"/>
  <c r="P642" i="34"/>
  <c r="A642" i="34"/>
  <c r="P672" i="34"/>
  <c r="A672" i="34"/>
  <c r="P691" i="34"/>
  <c r="A691" i="34"/>
  <c r="P695" i="34"/>
  <c r="A695" i="34"/>
  <c r="P437" i="34"/>
  <c r="A437" i="34"/>
  <c r="P441" i="34"/>
  <c r="A441" i="34"/>
  <c r="P488" i="34"/>
  <c r="A488" i="34"/>
  <c r="P517" i="34"/>
  <c r="A517" i="34"/>
  <c r="P712" i="34"/>
  <c r="A712" i="34"/>
  <c r="P347" i="34"/>
  <c r="A347" i="34"/>
  <c r="P885" i="34"/>
  <c r="A885" i="34"/>
  <c r="P891" i="34"/>
  <c r="A891" i="34"/>
  <c r="P895" i="34"/>
  <c r="A895" i="34"/>
  <c r="P208" i="34"/>
  <c r="A208" i="34"/>
  <c r="P212" i="34"/>
  <c r="A212" i="34"/>
  <c r="P219" i="34"/>
  <c r="A219" i="34"/>
  <c r="P223" i="34"/>
  <c r="A223" i="34"/>
  <c r="P241" i="34"/>
  <c r="A241" i="34"/>
  <c r="P245" i="34"/>
  <c r="A245" i="34"/>
  <c r="P572" i="34"/>
  <c r="A572" i="34"/>
  <c r="P652" i="34"/>
  <c r="A652" i="34"/>
  <c r="P389" i="34"/>
  <c r="A389" i="34"/>
  <c r="P393" i="34"/>
  <c r="A393" i="34"/>
  <c r="P423" i="34"/>
  <c r="A423" i="34"/>
  <c r="P427" i="34"/>
  <c r="A427" i="34"/>
  <c r="P431" i="34"/>
  <c r="A431" i="34"/>
  <c r="P468" i="34"/>
  <c r="A468" i="34"/>
  <c r="P472" i="34"/>
  <c r="A472" i="34"/>
  <c r="P504" i="34"/>
  <c r="A504" i="34"/>
  <c r="P508" i="34"/>
  <c r="A508" i="34"/>
  <c r="P532" i="34"/>
  <c r="A532" i="34"/>
  <c r="P550" i="34"/>
  <c r="A550" i="34"/>
  <c r="P554" i="34"/>
  <c r="A554" i="34"/>
  <c r="P567" i="34"/>
  <c r="A567" i="34"/>
  <c r="P573" i="34"/>
  <c r="A573" i="34"/>
  <c r="P577" i="34"/>
  <c r="A577" i="34"/>
  <c r="P592" i="34"/>
  <c r="A592" i="34"/>
  <c r="P596" i="34"/>
  <c r="A596" i="34"/>
  <c r="A129" i="34"/>
  <c r="A136" i="34"/>
  <c r="A143" i="34"/>
  <c r="P147" i="34"/>
  <c r="A147" i="34"/>
  <c r="P169" i="34"/>
  <c r="A169" i="34"/>
  <c r="P173" i="34"/>
  <c r="A173" i="34"/>
  <c r="P180" i="34"/>
  <c r="A180" i="34"/>
  <c r="P190" i="34"/>
  <c r="A190" i="34"/>
  <c r="P194" i="34"/>
  <c r="A194" i="34"/>
  <c r="P901" i="34"/>
  <c r="A901" i="34"/>
  <c r="P905" i="34"/>
  <c r="A905" i="34"/>
  <c r="P909" i="34"/>
  <c r="A909" i="34"/>
  <c r="P913" i="34"/>
  <c r="A913" i="34"/>
  <c r="P917" i="34"/>
  <c r="A917" i="34"/>
  <c r="P919" i="34"/>
  <c r="A919" i="34"/>
  <c r="P925" i="34"/>
  <c r="A925" i="34"/>
  <c r="P929" i="34"/>
  <c r="A929" i="34"/>
  <c r="P933" i="34"/>
  <c r="A933" i="34"/>
  <c r="P937" i="34"/>
  <c r="A937" i="34"/>
  <c r="P943" i="34"/>
  <c r="A943" i="34"/>
  <c r="P947" i="34"/>
  <c r="A947" i="34"/>
  <c r="P962" i="34"/>
  <c r="A962" i="34"/>
  <c r="P968" i="34"/>
  <c r="A968" i="34"/>
  <c r="P636" i="34"/>
  <c r="A636" i="34"/>
  <c r="P351" i="34"/>
  <c r="A351" i="34"/>
  <c r="P356" i="34"/>
  <c r="A356" i="34"/>
  <c r="P360" i="34"/>
  <c r="A360" i="34"/>
  <c r="P365" i="34"/>
  <c r="A365" i="34"/>
  <c r="P370" i="34"/>
  <c r="A370" i="34"/>
  <c r="P374" i="34"/>
  <c r="A374" i="34"/>
  <c r="P378" i="34"/>
  <c r="A378" i="34"/>
  <c r="P382" i="34"/>
  <c r="A382" i="34"/>
  <c r="P386" i="34"/>
  <c r="A386" i="34"/>
  <c r="P412" i="34"/>
  <c r="A412" i="34"/>
  <c r="P860" i="34"/>
  <c r="A860" i="34"/>
  <c r="P864" i="34"/>
  <c r="A864" i="34"/>
  <c r="P871" i="34"/>
  <c r="A871" i="34"/>
  <c r="P876" i="34"/>
  <c r="A876" i="34"/>
  <c r="P639" i="34"/>
  <c r="A639" i="34"/>
  <c r="P666" i="34"/>
  <c r="A666" i="34"/>
  <c r="P677" i="34"/>
  <c r="A677" i="34"/>
  <c r="P692" i="34"/>
  <c r="A692" i="34"/>
  <c r="P748" i="34"/>
  <c r="A748" i="34"/>
  <c r="P438" i="34"/>
  <c r="A438" i="34"/>
  <c r="P442" i="34"/>
  <c r="A442" i="34"/>
  <c r="P489" i="34"/>
  <c r="A489" i="34"/>
  <c r="P518" i="34"/>
  <c r="A518" i="34"/>
  <c r="P344" i="34"/>
  <c r="A344" i="34"/>
  <c r="P348" i="34"/>
  <c r="A348" i="34"/>
  <c r="P886" i="34"/>
  <c r="A886" i="34"/>
  <c r="P892" i="34"/>
  <c r="A892" i="34"/>
  <c r="P196" i="34"/>
  <c r="A196" i="34"/>
  <c r="P205" i="34"/>
  <c r="A205" i="34"/>
  <c r="P209" i="34"/>
  <c r="A209" i="34"/>
  <c r="P216" i="34"/>
  <c r="A216" i="34"/>
  <c r="P220" i="34"/>
  <c r="A220" i="34"/>
  <c r="P224" i="34"/>
  <c r="A224" i="34"/>
  <c r="P242" i="34"/>
  <c r="A242" i="34"/>
  <c r="P246" i="34"/>
  <c r="A246" i="34"/>
  <c r="P584" i="34"/>
  <c r="A584" i="34"/>
  <c r="P664" i="34"/>
  <c r="A664" i="34"/>
  <c r="P390" i="34"/>
  <c r="A390" i="34"/>
  <c r="P394" i="34"/>
  <c r="A394" i="34"/>
  <c r="P424" i="34"/>
  <c r="A424" i="34"/>
  <c r="P428" i="34"/>
  <c r="A428" i="34"/>
  <c r="P465" i="34"/>
  <c r="A465" i="34"/>
  <c r="P469" i="34"/>
  <c r="A469" i="34"/>
  <c r="P501" i="34"/>
  <c r="A501" i="34"/>
  <c r="P505" i="34"/>
  <c r="A505" i="34"/>
  <c r="P509" i="34"/>
  <c r="A509" i="34"/>
  <c r="P533" i="34"/>
  <c r="A533" i="34"/>
  <c r="P536" i="34"/>
  <c r="A536" i="34"/>
  <c r="P551" i="34"/>
  <c r="A551" i="34"/>
  <c r="P555" i="34"/>
  <c r="A555" i="34"/>
  <c r="P568" i="34"/>
  <c r="A568" i="34"/>
  <c r="P574" i="34"/>
  <c r="A574" i="34"/>
  <c r="P589" i="34"/>
  <c r="A589" i="34"/>
  <c r="P593" i="34"/>
  <c r="A593" i="34"/>
  <c r="P621" i="34"/>
  <c r="A621" i="34"/>
  <c r="A130" i="34"/>
  <c r="A138" i="34"/>
  <c r="A144" i="34"/>
  <c r="P148" i="34"/>
  <c r="A148" i="34"/>
  <c r="P170" i="34"/>
  <c r="A170" i="34"/>
  <c r="P174" i="34"/>
  <c r="A174" i="34"/>
  <c r="P181" i="34"/>
  <c r="A181" i="34"/>
  <c r="P191" i="34"/>
  <c r="A191" i="34"/>
  <c r="P195" i="34"/>
  <c r="A195" i="34"/>
  <c r="P902" i="34"/>
  <c r="A902" i="34"/>
  <c r="P906" i="34"/>
  <c r="A906" i="34"/>
  <c r="P910" i="34"/>
  <c r="A910" i="34"/>
  <c r="P914" i="34"/>
  <c r="A914" i="34"/>
  <c r="P920" i="34"/>
  <c r="A920" i="34"/>
  <c r="P922" i="34"/>
  <c r="A922" i="34"/>
  <c r="P926" i="34"/>
  <c r="A926" i="34"/>
  <c r="P930" i="34"/>
  <c r="A930" i="34"/>
  <c r="P934" i="34"/>
  <c r="A934" i="34"/>
  <c r="P938" i="34"/>
  <c r="A938" i="34"/>
  <c r="P944" i="34"/>
  <c r="A944" i="34"/>
  <c r="P948" i="34"/>
  <c r="A948" i="34"/>
  <c r="P963" i="34"/>
  <c r="A963" i="34"/>
  <c r="P969" i="34"/>
  <c r="A969" i="34"/>
  <c r="P749" i="34"/>
  <c r="A749" i="34"/>
  <c r="P353" i="34"/>
  <c r="A353" i="34"/>
  <c r="P357" i="34"/>
  <c r="A357" i="34"/>
  <c r="P361" i="34"/>
  <c r="A361" i="34"/>
  <c r="P366" i="34"/>
  <c r="A366" i="34"/>
  <c r="P371" i="34"/>
  <c r="A371" i="34"/>
  <c r="P375" i="34"/>
  <c r="A375" i="34"/>
  <c r="P379" i="34"/>
  <c r="A379" i="34"/>
  <c r="P383" i="34"/>
  <c r="A383" i="34"/>
  <c r="P387" i="34"/>
  <c r="A387" i="34"/>
  <c r="P419" i="34"/>
  <c r="A419" i="34"/>
  <c r="P861" i="34"/>
  <c r="A861" i="34"/>
  <c r="P866" i="34"/>
  <c r="A866" i="34"/>
  <c r="P872" i="34"/>
  <c r="A872" i="34"/>
  <c r="P881" i="34"/>
  <c r="A881" i="34"/>
  <c r="P640" i="34"/>
  <c r="A640" i="34"/>
  <c r="P667" i="34"/>
  <c r="A667" i="34"/>
  <c r="P678" i="34"/>
  <c r="A678" i="34"/>
  <c r="P693" i="34"/>
  <c r="A693" i="34"/>
  <c r="P435" i="34"/>
  <c r="A435" i="34"/>
  <c r="P439" i="34"/>
  <c r="A439" i="34"/>
  <c r="P443" i="34"/>
  <c r="A443" i="34"/>
  <c r="P490" i="34"/>
  <c r="A490" i="34"/>
  <c r="P704" i="34"/>
  <c r="A704" i="34"/>
  <c r="P345" i="34"/>
  <c r="A345" i="34"/>
  <c r="P349" i="34"/>
  <c r="A349" i="34"/>
  <c r="P887" i="34"/>
  <c r="A887" i="34"/>
  <c r="P893" i="34"/>
  <c r="A893" i="34"/>
  <c r="P197" i="34"/>
  <c r="A197" i="34"/>
  <c r="P206" i="34"/>
  <c r="A206" i="34"/>
  <c r="P210" i="34"/>
  <c r="A210" i="34"/>
  <c r="P217" i="34"/>
  <c r="A217" i="34"/>
  <c r="P221" i="34"/>
  <c r="A221" i="34"/>
  <c r="P239" i="34"/>
  <c r="A239" i="34"/>
  <c r="P243" i="34"/>
  <c r="A243" i="34"/>
  <c r="P247" i="34"/>
  <c r="A247" i="34"/>
  <c r="P585" i="34"/>
  <c r="A585" i="34"/>
  <c r="P665" i="34"/>
  <c r="A665" i="34"/>
  <c r="P391" i="34"/>
  <c r="A391" i="34"/>
  <c r="P395" i="34"/>
  <c r="A395" i="34"/>
  <c r="P425" i="34"/>
  <c r="A425" i="34"/>
  <c r="P429" i="34"/>
  <c r="A429" i="34"/>
  <c r="P466" i="34"/>
  <c r="A466" i="34"/>
  <c r="P470" i="34"/>
  <c r="A470" i="34"/>
  <c r="P502" i="34"/>
  <c r="A502" i="34"/>
  <c r="P506" i="34"/>
  <c r="A506" i="34"/>
  <c r="P530" i="34"/>
  <c r="A530" i="34"/>
  <c r="P534" i="34"/>
  <c r="A534" i="34"/>
  <c r="P537" i="34"/>
  <c r="A537" i="34"/>
  <c r="P552" i="34"/>
  <c r="A552" i="34"/>
  <c r="P556" i="34"/>
  <c r="A556" i="34"/>
  <c r="P569" i="34"/>
  <c r="A569" i="34"/>
  <c r="P575" i="34"/>
  <c r="A575" i="34"/>
  <c r="P590" i="34"/>
  <c r="A590" i="34"/>
  <c r="P594" i="34"/>
  <c r="A594" i="34"/>
  <c r="P622" i="34"/>
  <c r="A622" i="34"/>
  <c r="P131" i="34"/>
  <c r="A131" i="34"/>
  <c r="A139" i="34"/>
  <c r="A145" i="34"/>
  <c r="A149" i="34"/>
  <c r="P171" i="34"/>
  <c r="A171" i="34"/>
  <c r="P175" i="34"/>
  <c r="A175" i="34"/>
  <c r="P182" i="34"/>
  <c r="A182" i="34"/>
  <c r="P192" i="34"/>
  <c r="A192" i="34"/>
  <c r="P903" i="34"/>
  <c r="A903" i="34"/>
  <c r="P907" i="34"/>
  <c r="A907" i="34"/>
  <c r="P911" i="34"/>
  <c r="A911" i="34"/>
  <c r="P915" i="34"/>
  <c r="A915" i="34"/>
  <c r="P921" i="34"/>
  <c r="A921" i="34"/>
  <c r="P923" i="34"/>
  <c r="A923" i="34"/>
  <c r="P927" i="34"/>
  <c r="A927" i="34"/>
  <c r="P931" i="34"/>
  <c r="A931" i="34"/>
  <c r="P935" i="34"/>
  <c r="A935" i="34"/>
  <c r="P939" i="34"/>
  <c r="A939" i="34"/>
  <c r="P945" i="34"/>
  <c r="A945" i="34"/>
  <c r="P949" i="34"/>
  <c r="A949" i="34"/>
  <c r="P964" i="34"/>
  <c r="A964" i="34"/>
  <c r="P325" i="34"/>
  <c r="A325" i="34"/>
  <c r="P354" i="34"/>
  <c r="A354" i="34"/>
  <c r="P358" i="34"/>
  <c r="A358" i="34"/>
  <c r="P362" i="34"/>
  <c r="A362" i="34"/>
  <c r="P367" i="34"/>
  <c r="A367" i="34"/>
  <c r="P372" i="34"/>
  <c r="A372" i="34"/>
  <c r="P376" i="34"/>
  <c r="A376" i="34"/>
  <c r="P380" i="34"/>
  <c r="A380" i="34"/>
  <c r="P384" i="34"/>
  <c r="A384" i="34"/>
  <c r="P410" i="34"/>
  <c r="A410" i="34"/>
  <c r="P420" i="34"/>
  <c r="A420" i="34"/>
  <c r="P862" i="34"/>
  <c r="A862" i="34"/>
  <c r="P867" i="34"/>
  <c r="A867" i="34"/>
  <c r="P874" i="34"/>
  <c r="A874" i="34"/>
  <c r="P882" i="34"/>
  <c r="A882" i="34"/>
  <c r="P641" i="34"/>
  <c r="A641" i="34"/>
  <c r="P671" i="34"/>
  <c r="A671" i="34"/>
  <c r="P690" i="34"/>
  <c r="A690" i="34"/>
  <c r="P694" i="34"/>
  <c r="A694" i="34"/>
  <c r="P436" i="34"/>
  <c r="A436" i="34"/>
  <c r="P440" i="34"/>
  <c r="A440" i="34"/>
  <c r="P444" i="34"/>
  <c r="A444" i="34"/>
  <c r="P516" i="34"/>
  <c r="A516" i="34"/>
  <c r="P711" i="34"/>
  <c r="A711" i="34"/>
  <c r="P346" i="34"/>
  <c r="A346" i="34"/>
  <c r="P884" i="34"/>
  <c r="A884" i="34"/>
  <c r="P888" i="34"/>
  <c r="A888" i="34"/>
  <c r="P894" i="34"/>
  <c r="A894" i="34"/>
  <c r="P198" i="34"/>
  <c r="A198" i="34"/>
  <c r="P207" i="34"/>
  <c r="A207" i="34"/>
  <c r="P211" i="34"/>
  <c r="A211" i="34"/>
  <c r="P218" i="34"/>
  <c r="A218" i="34"/>
  <c r="P222" i="34"/>
  <c r="A222" i="34"/>
  <c r="P240" i="34"/>
  <c r="A240" i="34"/>
  <c r="P244" i="34"/>
  <c r="A244" i="34"/>
  <c r="P571" i="34"/>
  <c r="A571" i="34"/>
  <c r="P634" i="34"/>
  <c r="A634" i="34"/>
  <c r="P388" i="34"/>
  <c r="A388" i="34"/>
  <c r="P392" i="34"/>
  <c r="A392" i="34"/>
  <c r="P396" i="34"/>
  <c r="A396" i="34"/>
  <c r="P426" i="34"/>
  <c r="A426" i="34"/>
  <c r="P430" i="34"/>
  <c r="A430" i="34"/>
  <c r="P467" i="34"/>
  <c r="A467" i="34"/>
  <c r="P471" i="34"/>
  <c r="A471" i="34"/>
  <c r="P503" i="34"/>
  <c r="A503" i="34"/>
  <c r="P507" i="34"/>
  <c r="A507" i="34"/>
  <c r="P531" i="34"/>
  <c r="A531" i="34"/>
  <c r="P535" i="34"/>
  <c r="A535" i="34"/>
  <c r="P549" i="34"/>
  <c r="A549" i="34"/>
  <c r="P553" i="34"/>
  <c r="A553" i="34"/>
  <c r="P562" i="34"/>
  <c r="A562" i="34"/>
  <c r="P570" i="34"/>
  <c r="A570" i="34"/>
  <c r="P576" i="34"/>
  <c r="A576" i="34"/>
  <c r="P591" i="34"/>
  <c r="A591" i="34"/>
  <c r="P595" i="34"/>
  <c r="A595" i="34"/>
  <c r="P623" i="34"/>
  <c r="A623" i="34"/>
  <c r="A133" i="34"/>
  <c r="A142" i="34"/>
  <c r="A146" i="34"/>
  <c r="P168" i="34"/>
  <c r="A168" i="34"/>
  <c r="P172" i="34"/>
  <c r="A172" i="34"/>
  <c r="P176" i="34"/>
  <c r="A176" i="34"/>
  <c r="P183" i="34"/>
  <c r="A183" i="34"/>
  <c r="P193" i="34"/>
  <c r="A193" i="34"/>
  <c r="P204" i="34"/>
  <c r="X911" i="34"/>
  <c r="Q911" i="34"/>
  <c r="R911" i="34"/>
  <c r="V911" i="34"/>
  <c r="AA911" i="34"/>
  <c r="AA904" i="34"/>
  <c r="X904" i="34"/>
  <c r="Q904" i="34"/>
  <c r="R904" i="34"/>
  <c r="V904" i="34"/>
  <c r="R901" i="34"/>
  <c r="V901" i="34"/>
  <c r="AA901" i="34"/>
  <c r="X901" i="34"/>
  <c r="Q901" i="34"/>
  <c r="R905" i="34"/>
  <c r="V905" i="34"/>
  <c r="AA905" i="34"/>
  <c r="X905" i="34"/>
  <c r="Q905" i="34"/>
  <c r="R909" i="34"/>
  <c r="V909" i="34"/>
  <c r="AA909" i="34"/>
  <c r="X909" i="34"/>
  <c r="Q909" i="34"/>
  <c r="R913" i="34"/>
  <c r="V913" i="34"/>
  <c r="AA913" i="34"/>
  <c r="X913" i="34"/>
  <c r="Q913" i="34"/>
  <c r="R917" i="34"/>
  <c r="V917" i="34"/>
  <c r="AA917" i="34"/>
  <c r="X917" i="34"/>
  <c r="Q917" i="34"/>
  <c r="X919" i="34"/>
  <c r="Q919" i="34"/>
  <c r="R919" i="34"/>
  <c r="V919" i="34"/>
  <c r="AA919" i="34"/>
  <c r="R925" i="34"/>
  <c r="V925" i="34"/>
  <c r="AA925" i="34"/>
  <c r="X925" i="34"/>
  <c r="Q925" i="34"/>
  <c r="R929" i="34"/>
  <c r="V929" i="34"/>
  <c r="AA929" i="34"/>
  <c r="X929" i="34"/>
  <c r="Q929" i="34"/>
  <c r="R933" i="34"/>
  <c r="V933" i="34"/>
  <c r="AA933" i="34"/>
  <c r="X933" i="34"/>
  <c r="Q933" i="34"/>
  <c r="R937" i="34"/>
  <c r="V937" i="34"/>
  <c r="AA937" i="34"/>
  <c r="X937" i="34"/>
  <c r="Q937" i="34"/>
  <c r="R943" i="34"/>
  <c r="V943" i="34"/>
  <c r="AA943" i="34"/>
  <c r="X943" i="34"/>
  <c r="Q943" i="34"/>
  <c r="R947" i="34"/>
  <c r="V947" i="34"/>
  <c r="AA947" i="34"/>
  <c r="X947" i="34"/>
  <c r="Q947" i="34"/>
  <c r="AA962" i="34"/>
  <c r="X962" i="34"/>
  <c r="Q962" i="34"/>
  <c r="R962" i="34"/>
  <c r="V962" i="34"/>
  <c r="Q968" i="34"/>
  <c r="R968" i="34"/>
  <c r="V968" i="34"/>
  <c r="AA968" i="34"/>
  <c r="X968" i="34"/>
  <c r="X636" i="34"/>
  <c r="Q636" i="34"/>
  <c r="R636" i="34"/>
  <c r="V636" i="34"/>
  <c r="AA636" i="34"/>
  <c r="AA351" i="34"/>
  <c r="X351" i="34"/>
  <c r="Q351" i="34"/>
  <c r="R351" i="34"/>
  <c r="V351" i="34"/>
  <c r="R356" i="34"/>
  <c r="V356" i="34"/>
  <c r="AA356" i="34"/>
  <c r="X356" i="34"/>
  <c r="Q356" i="34"/>
  <c r="R360" i="34"/>
  <c r="V360" i="34"/>
  <c r="AA360" i="34"/>
  <c r="X360" i="34"/>
  <c r="Q360" i="34"/>
  <c r="Q365" i="34"/>
  <c r="R365" i="34"/>
  <c r="V365" i="34"/>
  <c r="AA365" i="34"/>
  <c r="X365" i="34"/>
  <c r="X370" i="34"/>
  <c r="Q370" i="34"/>
  <c r="R370" i="34"/>
  <c r="V370" i="34"/>
  <c r="AA370" i="34"/>
  <c r="X374" i="34"/>
  <c r="Q374" i="34"/>
  <c r="R374" i="34"/>
  <c r="V374" i="34"/>
  <c r="AA374" i="34"/>
  <c r="X378" i="34"/>
  <c r="Q378" i="34"/>
  <c r="R378" i="34"/>
  <c r="V378" i="34"/>
  <c r="AA378" i="34"/>
  <c r="X382" i="34"/>
  <c r="Q382" i="34"/>
  <c r="R382" i="34"/>
  <c r="V382" i="34"/>
  <c r="AA382" i="34"/>
  <c r="X386" i="34"/>
  <c r="Q386" i="34"/>
  <c r="R386" i="34"/>
  <c r="V386" i="34"/>
  <c r="AA386" i="34"/>
  <c r="R412" i="34"/>
  <c r="V412" i="34"/>
  <c r="AA412" i="34"/>
  <c r="X412" i="34"/>
  <c r="Q412" i="34"/>
  <c r="AA860" i="34"/>
  <c r="R860" i="34"/>
  <c r="V860" i="34"/>
  <c r="X860" i="34"/>
  <c r="Q860" i="34"/>
  <c r="AA864" i="34"/>
  <c r="X864" i="34"/>
  <c r="Q864" i="34"/>
  <c r="R864" i="34"/>
  <c r="V864" i="34"/>
  <c r="R871" i="34"/>
  <c r="V871" i="34"/>
  <c r="AA871" i="34"/>
  <c r="X871" i="34"/>
  <c r="Q871" i="34"/>
  <c r="Q876" i="34"/>
  <c r="R876" i="34"/>
  <c r="V876" i="34"/>
  <c r="AA876" i="34"/>
  <c r="X876" i="34"/>
  <c r="Q639" i="34"/>
  <c r="R639" i="34"/>
  <c r="V639" i="34"/>
  <c r="AA639" i="34"/>
  <c r="X639" i="34"/>
  <c r="Q666" i="34"/>
  <c r="R666" i="34"/>
  <c r="V666" i="34"/>
  <c r="AA666" i="34"/>
  <c r="X666" i="34"/>
  <c r="Q677" i="34"/>
  <c r="R677" i="34"/>
  <c r="V677" i="34"/>
  <c r="X677" i="34"/>
  <c r="AA677" i="34"/>
  <c r="Q692" i="34"/>
  <c r="R692" i="34"/>
  <c r="V692" i="34"/>
  <c r="X692" i="34"/>
  <c r="AA692" i="34"/>
  <c r="Q748" i="34"/>
  <c r="X748" i="34"/>
  <c r="R748" i="34"/>
  <c r="V748" i="34"/>
  <c r="AA748" i="34"/>
  <c r="R438" i="34"/>
  <c r="V438" i="34"/>
  <c r="Q438" i="34"/>
  <c r="AA438" i="34"/>
  <c r="X438" i="34"/>
  <c r="R442" i="34"/>
  <c r="V442" i="34"/>
  <c r="Q442" i="34"/>
  <c r="AA442" i="34"/>
  <c r="X442" i="34"/>
  <c r="Q489" i="34"/>
  <c r="R489" i="34"/>
  <c r="V489" i="34"/>
  <c r="AA489" i="34"/>
  <c r="X489" i="34"/>
  <c r="Q518" i="34"/>
  <c r="R518" i="34"/>
  <c r="V518" i="34"/>
  <c r="AA518" i="34"/>
  <c r="X518" i="34"/>
  <c r="R344" i="34"/>
  <c r="V344" i="34"/>
  <c r="AA344" i="34"/>
  <c r="X344" i="34"/>
  <c r="Q344" i="34"/>
  <c r="R348" i="34"/>
  <c r="V348" i="34"/>
  <c r="AA348" i="34"/>
  <c r="X348" i="34"/>
  <c r="Q348" i="34"/>
  <c r="AA886" i="34"/>
  <c r="X886" i="34"/>
  <c r="Q886" i="34"/>
  <c r="R886" i="34"/>
  <c r="V886" i="34"/>
  <c r="AA892" i="34"/>
  <c r="X892" i="34"/>
  <c r="Q892" i="34"/>
  <c r="R892" i="34"/>
  <c r="V892" i="34"/>
  <c r="X196" i="34"/>
  <c r="Q196" i="34"/>
  <c r="AA196" i="34"/>
  <c r="R196" i="34"/>
  <c r="V196" i="34"/>
  <c r="R205" i="34"/>
  <c r="V205" i="34"/>
  <c r="AA205" i="34"/>
  <c r="X205" i="34"/>
  <c r="Q205" i="34"/>
  <c r="R209" i="34"/>
  <c r="V209" i="34"/>
  <c r="AA209" i="34"/>
  <c r="X209" i="34"/>
  <c r="Q209" i="34"/>
  <c r="AA216" i="34"/>
  <c r="X216" i="34"/>
  <c r="Q216" i="34"/>
  <c r="R216" i="34"/>
  <c r="V216" i="34"/>
  <c r="AA220" i="34"/>
  <c r="X220" i="34"/>
  <c r="Q220" i="34"/>
  <c r="R220" i="34"/>
  <c r="V220" i="34"/>
  <c r="AA224" i="34"/>
  <c r="X224" i="34"/>
  <c r="Q224" i="34"/>
  <c r="R224" i="34"/>
  <c r="V224" i="34"/>
  <c r="Q242" i="34"/>
  <c r="R242" i="34"/>
  <c r="V242" i="34"/>
  <c r="AA242" i="34"/>
  <c r="X242" i="34"/>
  <c r="Q246" i="34"/>
  <c r="R246" i="34"/>
  <c r="V246" i="34"/>
  <c r="AA246" i="34"/>
  <c r="X246" i="34"/>
  <c r="Q584" i="34"/>
  <c r="R584" i="34"/>
  <c r="V584" i="34"/>
  <c r="AA584" i="34"/>
  <c r="X584" i="34"/>
  <c r="AA664" i="34"/>
  <c r="X664" i="34"/>
  <c r="Q664" i="34"/>
  <c r="R664" i="34"/>
  <c r="V664" i="34"/>
  <c r="X390" i="34"/>
  <c r="Q390" i="34"/>
  <c r="R390" i="34"/>
  <c r="V390" i="34"/>
  <c r="AA390" i="34"/>
  <c r="X394" i="34"/>
  <c r="Q394" i="34"/>
  <c r="R394" i="34"/>
  <c r="V394" i="34"/>
  <c r="AA394" i="34"/>
  <c r="R424" i="34"/>
  <c r="V424" i="34"/>
  <c r="AA424" i="34"/>
  <c r="X424" i="34"/>
  <c r="Q424" i="34"/>
  <c r="R428" i="34"/>
  <c r="V428" i="34"/>
  <c r="AA428" i="34"/>
  <c r="X428" i="34"/>
  <c r="Q428" i="34"/>
  <c r="R465" i="34"/>
  <c r="V465" i="34"/>
  <c r="Q465" i="34"/>
  <c r="AA465" i="34"/>
  <c r="X465" i="34"/>
  <c r="R469" i="34"/>
  <c r="V469" i="34"/>
  <c r="Q469" i="34"/>
  <c r="AA469" i="34"/>
  <c r="X469" i="34"/>
  <c r="R472" i="34"/>
  <c r="V472" i="34"/>
  <c r="Q472" i="34"/>
  <c r="AA472" i="34"/>
  <c r="X472" i="34"/>
  <c r="Q504" i="34"/>
  <c r="R504" i="34"/>
  <c r="V504" i="34"/>
  <c r="AA504" i="34"/>
  <c r="X504" i="34"/>
  <c r="Q508" i="34"/>
  <c r="R508" i="34"/>
  <c r="V508" i="34"/>
  <c r="AA508" i="34"/>
  <c r="X508" i="34"/>
  <c r="X532" i="34"/>
  <c r="Q532" i="34"/>
  <c r="R532" i="34"/>
  <c r="V532" i="34"/>
  <c r="AA532" i="34"/>
  <c r="Q550" i="34"/>
  <c r="R550" i="34"/>
  <c r="V550" i="34"/>
  <c r="AA550" i="34"/>
  <c r="X550" i="34"/>
  <c r="Q554" i="34"/>
  <c r="R554" i="34"/>
  <c r="V554" i="34"/>
  <c r="AA554" i="34"/>
  <c r="X554" i="34"/>
  <c r="AA567" i="34"/>
  <c r="X567" i="34"/>
  <c r="Q567" i="34"/>
  <c r="R567" i="34"/>
  <c r="V567" i="34"/>
  <c r="AA573" i="34"/>
  <c r="X573" i="34"/>
  <c r="Q573" i="34"/>
  <c r="R573" i="34"/>
  <c r="V573" i="34"/>
  <c r="AA577" i="34"/>
  <c r="X577" i="34"/>
  <c r="Q577" i="34"/>
  <c r="R577" i="34"/>
  <c r="V577" i="34"/>
  <c r="Q591" i="34"/>
  <c r="R591" i="34"/>
  <c r="V591" i="34"/>
  <c r="AA591" i="34"/>
  <c r="X591" i="34"/>
  <c r="Q595" i="34"/>
  <c r="AA595" i="34"/>
  <c r="X595" i="34"/>
  <c r="R595" i="34"/>
  <c r="V595" i="34"/>
  <c r="AA623" i="34"/>
  <c r="X623" i="34"/>
  <c r="Q623" i="34"/>
  <c r="R623" i="34"/>
  <c r="V623" i="34"/>
  <c r="Q168" i="34"/>
  <c r="R168" i="34"/>
  <c r="V168" i="34"/>
  <c r="AA168" i="34"/>
  <c r="X168" i="34"/>
  <c r="Q172" i="34"/>
  <c r="R172" i="34"/>
  <c r="V172" i="34"/>
  <c r="AA172" i="34"/>
  <c r="X172" i="34"/>
  <c r="Q176" i="34"/>
  <c r="R176" i="34"/>
  <c r="V176" i="34"/>
  <c r="AA176" i="34"/>
  <c r="X176" i="34"/>
  <c r="R183" i="34"/>
  <c r="V183" i="34"/>
  <c r="AA183" i="34"/>
  <c r="X183" i="34"/>
  <c r="Q183" i="34"/>
  <c r="AA193" i="34"/>
  <c r="X193" i="34"/>
  <c r="R193" i="34"/>
  <c r="V193" i="34"/>
  <c r="Q193" i="34"/>
  <c r="Q902" i="34"/>
  <c r="R902" i="34"/>
  <c r="V902" i="34"/>
  <c r="AA902" i="34"/>
  <c r="X902" i="34"/>
  <c r="Q906" i="34"/>
  <c r="R906" i="34"/>
  <c r="V906" i="34"/>
  <c r="AA906" i="34"/>
  <c r="X906" i="34"/>
  <c r="Q910" i="34"/>
  <c r="R910" i="34"/>
  <c r="V910" i="34"/>
  <c r="AA910" i="34"/>
  <c r="X910" i="34"/>
  <c r="Q914" i="34"/>
  <c r="R914" i="34"/>
  <c r="V914" i="34"/>
  <c r="AA914" i="34"/>
  <c r="X914" i="34"/>
  <c r="AA920" i="34"/>
  <c r="X920" i="34"/>
  <c r="Q920" i="34"/>
  <c r="R920" i="34"/>
  <c r="V920" i="34"/>
  <c r="Q922" i="34"/>
  <c r="R922" i="34"/>
  <c r="V922" i="34"/>
  <c r="AA922" i="34"/>
  <c r="X922" i="34"/>
  <c r="Q926" i="34"/>
  <c r="R926" i="34"/>
  <c r="V926" i="34"/>
  <c r="AA926" i="34"/>
  <c r="X926" i="34"/>
  <c r="Q930" i="34"/>
  <c r="R930" i="34"/>
  <c r="V930" i="34"/>
  <c r="AA930" i="34"/>
  <c r="X930" i="34"/>
  <c r="Q934" i="34"/>
  <c r="R934" i="34"/>
  <c r="V934" i="34"/>
  <c r="AA934" i="34"/>
  <c r="X934" i="34"/>
  <c r="Q938" i="34"/>
  <c r="R938" i="34"/>
  <c r="V938" i="34"/>
  <c r="AA938" i="34"/>
  <c r="X938" i="34"/>
  <c r="Q944" i="34"/>
  <c r="R944" i="34"/>
  <c r="V944" i="34"/>
  <c r="AA944" i="34"/>
  <c r="X944" i="34"/>
  <c r="Q948" i="34"/>
  <c r="R948" i="34"/>
  <c r="V948" i="34"/>
  <c r="AA948" i="34"/>
  <c r="X948" i="34"/>
  <c r="R963" i="34"/>
  <c r="V963" i="34"/>
  <c r="AA963" i="34"/>
  <c r="X963" i="34"/>
  <c r="Q963" i="34"/>
  <c r="X969" i="34"/>
  <c r="Q969" i="34"/>
  <c r="R969" i="34"/>
  <c r="V969" i="34"/>
  <c r="AA969" i="34"/>
  <c r="X749" i="34"/>
  <c r="AA749" i="34"/>
  <c r="Q749" i="34"/>
  <c r="R749" i="34"/>
  <c r="V749" i="34"/>
  <c r="Q353" i="34"/>
  <c r="R353" i="34"/>
  <c r="V353" i="34"/>
  <c r="AA353" i="34"/>
  <c r="X353" i="34"/>
  <c r="Q357" i="34"/>
  <c r="R357" i="34"/>
  <c r="V357" i="34"/>
  <c r="AA357" i="34"/>
  <c r="X357" i="34"/>
  <c r="Q361" i="34"/>
  <c r="R361" i="34"/>
  <c r="V361" i="34"/>
  <c r="AA361" i="34"/>
  <c r="X361" i="34"/>
  <c r="X366" i="34"/>
  <c r="Q366" i="34"/>
  <c r="R366" i="34"/>
  <c r="V366" i="34"/>
  <c r="AA366" i="34"/>
  <c r="AA371" i="34"/>
  <c r="X371" i="34"/>
  <c r="Q371" i="34"/>
  <c r="R371" i="34"/>
  <c r="V371" i="34"/>
  <c r="AA375" i="34"/>
  <c r="X375" i="34"/>
  <c r="Q375" i="34"/>
  <c r="R375" i="34"/>
  <c r="V375" i="34"/>
  <c r="AA379" i="34"/>
  <c r="X379" i="34"/>
  <c r="Q379" i="34"/>
  <c r="R379" i="34"/>
  <c r="V379" i="34"/>
  <c r="AA383" i="34"/>
  <c r="X383" i="34"/>
  <c r="Q383" i="34"/>
  <c r="R383" i="34"/>
  <c r="V383" i="34"/>
  <c r="AA387" i="34"/>
  <c r="X387" i="34"/>
  <c r="Q387" i="34"/>
  <c r="R387" i="34"/>
  <c r="V387" i="34"/>
  <c r="AA419" i="34"/>
  <c r="X419" i="34"/>
  <c r="Q419" i="34"/>
  <c r="R419" i="34"/>
  <c r="V419" i="34"/>
  <c r="R861" i="34"/>
  <c r="V861" i="34"/>
  <c r="AA861" i="34"/>
  <c r="X861" i="34"/>
  <c r="Q861" i="34"/>
  <c r="Q866" i="34"/>
  <c r="R866" i="34"/>
  <c r="V866" i="34"/>
  <c r="AA866" i="34"/>
  <c r="X866" i="34"/>
  <c r="Q872" i="34"/>
  <c r="R872" i="34"/>
  <c r="V872" i="34"/>
  <c r="AA872" i="34"/>
  <c r="X872" i="34"/>
  <c r="X881" i="34"/>
  <c r="Q881" i="34"/>
  <c r="R881" i="34"/>
  <c r="V881" i="34"/>
  <c r="AA881" i="34"/>
  <c r="X640" i="34"/>
  <c r="Q640" i="34"/>
  <c r="R640" i="34"/>
  <c r="V640" i="34"/>
  <c r="AA640" i="34"/>
  <c r="X667" i="34"/>
  <c r="Q667" i="34"/>
  <c r="R667" i="34"/>
  <c r="V667" i="34"/>
  <c r="AA667" i="34"/>
  <c r="X678" i="34"/>
  <c r="Q678" i="34"/>
  <c r="AA678" i="34"/>
  <c r="R678" i="34"/>
  <c r="V678" i="34"/>
  <c r="X693" i="34"/>
  <c r="Q693" i="34"/>
  <c r="AA693" i="34"/>
  <c r="R693" i="34"/>
  <c r="V693" i="34"/>
  <c r="Q435" i="34"/>
  <c r="X435" i="34"/>
  <c r="R435" i="34"/>
  <c r="V435" i="34"/>
  <c r="AA435" i="34"/>
  <c r="Q439" i="34"/>
  <c r="X439" i="34"/>
  <c r="R439" i="34"/>
  <c r="V439" i="34"/>
  <c r="AA439" i="34"/>
  <c r="Q443" i="34"/>
  <c r="X443" i="34"/>
  <c r="R443" i="34"/>
  <c r="V443" i="34"/>
  <c r="AA443" i="34"/>
  <c r="X490" i="34"/>
  <c r="Q490" i="34"/>
  <c r="R490" i="34"/>
  <c r="V490" i="34"/>
  <c r="AA490" i="34"/>
  <c r="X704" i="34"/>
  <c r="Q704" i="34"/>
  <c r="R704" i="34"/>
  <c r="V704" i="34"/>
  <c r="AA704" i="34"/>
  <c r="Q345" i="34"/>
  <c r="R345" i="34"/>
  <c r="V345" i="34"/>
  <c r="AA345" i="34"/>
  <c r="X345" i="34"/>
  <c r="Q349" i="34"/>
  <c r="R349" i="34"/>
  <c r="V349" i="34"/>
  <c r="AA349" i="34"/>
  <c r="X349" i="34"/>
  <c r="R887" i="34"/>
  <c r="V887" i="34"/>
  <c r="AA887" i="34"/>
  <c r="X887" i="34"/>
  <c r="Q887" i="34"/>
  <c r="R893" i="34"/>
  <c r="V893" i="34"/>
  <c r="AA893" i="34"/>
  <c r="X893" i="34"/>
  <c r="Q893" i="34"/>
  <c r="AA197" i="34"/>
  <c r="X197" i="34"/>
  <c r="R197" i="34"/>
  <c r="V197" i="34"/>
  <c r="Q197" i="34"/>
  <c r="Q206" i="34"/>
  <c r="R206" i="34"/>
  <c r="V206" i="34"/>
  <c r="AA206" i="34"/>
  <c r="X206" i="34"/>
  <c r="Q210" i="34"/>
  <c r="R210" i="34"/>
  <c r="V210" i="34"/>
  <c r="AA210" i="34"/>
  <c r="X210" i="34"/>
  <c r="R217" i="34"/>
  <c r="V217" i="34"/>
  <c r="AA217" i="34"/>
  <c r="X217" i="34"/>
  <c r="Q217" i="34"/>
  <c r="R221" i="34"/>
  <c r="V221" i="34"/>
  <c r="AA221" i="34"/>
  <c r="X221" i="34"/>
  <c r="Q221" i="34"/>
  <c r="X239" i="34"/>
  <c r="Q239" i="34"/>
  <c r="R239" i="34"/>
  <c r="V239" i="34"/>
  <c r="AA239" i="34"/>
  <c r="X243" i="34"/>
  <c r="Q243" i="34"/>
  <c r="R243" i="34"/>
  <c r="V243" i="34"/>
  <c r="AA243" i="34"/>
  <c r="X247" i="34"/>
  <c r="Q247" i="34"/>
  <c r="R247" i="34"/>
  <c r="V247" i="34"/>
  <c r="AA247" i="34"/>
  <c r="X585" i="34"/>
  <c r="Q585" i="34"/>
  <c r="R585" i="34"/>
  <c r="V585" i="34"/>
  <c r="AA585" i="34"/>
  <c r="R665" i="34"/>
  <c r="V665" i="34"/>
  <c r="AA665" i="34"/>
  <c r="X665" i="34"/>
  <c r="Q665" i="34"/>
  <c r="AA391" i="34"/>
  <c r="X391" i="34"/>
  <c r="Q391" i="34"/>
  <c r="R391" i="34"/>
  <c r="V391" i="34"/>
  <c r="AA395" i="34"/>
  <c r="X395" i="34"/>
  <c r="Q395" i="34"/>
  <c r="R395" i="34"/>
  <c r="V395" i="34"/>
  <c r="Q425" i="34"/>
  <c r="R425" i="34"/>
  <c r="V425" i="34"/>
  <c r="AA425" i="34"/>
  <c r="X425" i="34"/>
  <c r="Q429" i="34"/>
  <c r="R429" i="34"/>
  <c r="V429" i="34"/>
  <c r="AA429" i="34"/>
  <c r="X429" i="34"/>
  <c r="Q466" i="34"/>
  <c r="X466" i="34"/>
  <c r="R466" i="34"/>
  <c r="V466" i="34"/>
  <c r="AA466" i="34"/>
  <c r="Q470" i="34"/>
  <c r="X470" i="34"/>
  <c r="R470" i="34"/>
  <c r="V470" i="34"/>
  <c r="AA470" i="34"/>
  <c r="X501" i="34"/>
  <c r="Q501" i="34"/>
  <c r="R501" i="34"/>
  <c r="V501" i="34"/>
  <c r="AA501" i="34"/>
  <c r="X505" i="34"/>
  <c r="Q505" i="34"/>
  <c r="R505" i="34"/>
  <c r="V505" i="34"/>
  <c r="AA505" i="34"/>
  <c r="X509" i="34"/>
  <c r="Q509" i="34"/>
  <c r="R509" i="34"/>
  <c r="V509" i="34"/>
  <c r="AA509" i="34"/>
  <c r="AA533" i="34"/>
  <c r="X533" i="34"/>
  <c r="Q533" i="34"/>
  <c r="R533" i="34"/>
  <c r="V533" i="34"/>
  <c r="AA536" i="34"/>
  <c r="X536" i="34"/>
  <c r="Q536" i="34"/>
  <c r="R536" i="34"/>
  <c r="V536" i="34"/>
  <c r="X551" i="34"/>
  <c r="Q551" i="34"/>
  <c r="R551" i="34"/>
  <c r="V551" i="34"/>
  <c r="AA551" i="34"/>
  <c r="X555" i="34"/>
  <c r="Q555" i="34"/>
  <c r="R555" i="34"/>
  <c r="V555" i="34"/>
  <c r="AA555" i="34"/>
  <c r="R568" i="34"/>
  <c r="V568" i="34"/>
  <c r="AA568" i="34"/>
  <c r="X568" i="34"/>
  <c r="Q568" i="34"/>
  <c r="R574" i="34"/>
  <c r="V574" i="34"/>
  <c r="AA574" i="34"/>
  <c r="X574" i="34"/>
  <c r="Q574" i="34"/>
  <c r="X592" i="34"/>
  <c r="Q592" i="34"/>
  <c r="R592" i="34"/>
  <c r="V592" i="34"/>
  <c r="AA592" i="34"/>
  <c r="X596" i="34"/>
  <c r="R596" i="34"/>
  <c r="V596" i="34"/>
  <c r="AA596" i="34"/>
  <c r="Q596" i="34"/>
  <c r="X147" i="34"/>
  <c r="Q147" i="34"/>
  <c r="AA147" i="34"/>
  <c r="R147" i="34"/>
  <c r="V147" i="34"/>
  <c r="X169" i="34"/>
  <c r="Q169" i="34"/>
  <c r="R169" i="34"/>
  <c r="V169" i="34"/>
  <c r="AA169" i="34"/>
  <c r="X173" i="34"/>
  <c r="Q173" i="34"/>
  <c r="R173" i="34"/>
  <c r="V173" i="34"/>
  <c r="AA173" i="34"/>
  <c r="Q180" i="34"/>
  <c r="R180" i="34"/>
  <c r="V180" i="34"/>
  <c r="AA180" i="34"/>
  <c r="X180" i="34"/>
  <c r="R190" i="34"/>
  <c r="V190" i="34"/>
  <c r="AA190" i="34"/>
  <c r="X190" i="34"/>
  <c r="Q190" i="34"/>
  <c r="R194" i="34"/>
  <c r="V194" i="34"/>
  <c r="AA194" i="34"/>
  <c r="Q194" i="34"/>
  <c r="X194" i="34"/>
  <c r="X907" i="34"/>
  <c r="Q907" i="34"/>
  <c r="R907" i="34"/>
  <c r="V907" i="34"/>
  <c r="AA907" i="34"/>
  <c r="X915" i="34"/>
  <c r="Q915" i="34"/>
  <c r="R915" i="34"/>
  <c r="V915" i="34"/>
  <c r="AA915" i="34"/>
  <c r="R921" i="34"/>
  <c r="V921" i="34"/>
  <c r="AA921" i="34"/>
  <c r="X921" i="34"/>
  <c r="Q921" i="34"/>
  <c r="X923" i="34"/>
  <c r="Q923" i="34"/>
  <c r="R923" i="34"/>
  <c r="V923" i="34"/>
  <c r="AA923" i="34"/>
  <c r="X927" i="34"/>
  <c r="Q927" i="34"/>
  <c r="R927" i="34"/>
  <c r="V927" i="34"/>
  <c r="AA927" i="34"/>
  <c r="X931" i="34"/>
  <c r="Q931" i="34"/>
  <c r="R931" i="34"/>
  <c r="V931" i="34"/>
  <c r="AA931" i="34"/>
  <c r="X935" i="34"/>
  <c r="Q935" i="34"/>
  <c r="R935" i="34"/>
  <c r="V935" i="34"/>
  <c r="AA935" i="34"/>
  <c r="X939" i="34"/>
  <c r="Q939" i="34"/>
  <c r="R939" i="34"/>
  <c r="V939" i="34"/>
  <c r="AA939" i="34"/>
  <c r="X945" i="34"/>
  <c r="Q945" i="34"/>
  <c r="R945" i="34"/>
  <c r="V945" i="34"/>
  <c r="AA945" i="34"/>
  <c r="X949" i="34"/>
  <c r="Q949" i="34"/>
  <c r="R949" i="34"/>
  <c r="V949" i="34"/>
  <c r="AA949" i="34"/>
  <c r="Q964" i="34"/>
  <c r="R964" i="34"/>
  <c r="V964" i="34"/>
  <c r="AA964" i="34"/>
  <c r="X964" i="34"/>
  <c r="AA325" i="34"/>
  <c r="R325" i="34"/>
  <c r="V325" i="34"/>
  <c r="Q325" i="34"/>
  <c r="X325" i="34"/>
  <c r="X354" i="34"/>
  <c r="Q354" i="34"/>
  <c r="R354" i="34"/>
  <c r="V354" i="34"/>
  <c r="AA354" i="34"/>
  <c r="X358" i="34"/>
  <c r="Q358" i="34"/>
  <c r="R358" i="34"/>
  <c r="V358" i="34"/>
  <c r="AA358" i="34"/>
  <c r="X362" i="34"/>
  <c r="Q362" i="34"/>
  <c r="R362" i="34"/>
  <c r="V362" i="34"/>
  <c r="AA362" i="34"/>
  <c r="AA367" i="34"/>
  <c r="X367" i="34"/>
  <c r="Q367" i="34"/>
  <c r="R367" i="34"/>
  <c r="V367" i="34"/>
  <c r="R372" i="34"/>
  <c r="V372" i="34"/>
  <c r="AA372" i="34"/>
  <c r="X372" i="34"/>
  <c r="Q372" i="34"/>
  <c r="R376" i="34"/>
  <c r="V376" i="34"/>
  <c r="AA376" i="34"/>
  <c r="X376" i="34"/>
  <c r="Q376" i="34"/>
  <c r="R380" i="34"/>
  <c r="V380" i="34"/>
  <c r="AA380" i="34"/>
  <c r="X380" i="34"/>
  <c r="Q380" i="34"/>
  <c r="R384" i="34"/>
  <c r="V384" i="34"/>
  <c r="AA384" i="34"/>
  <c r="X384" i="34"/>
  <c r="Q384" i="34"/>
  <c r="X410" i="34"/>
  <c r="Q410" i="34"/>
  <c r="R410" i="34"/>
  <c r="V410" i="34"/>
  <c r="AA410" i="34"/>
  <c r="R420" i="34"/>
  <c r="V420" i="34"/>
  <c r="AA420" i="34"/>
  <c r="X420" i="34"/>
  <c r="Q420" i="34"/>
  <c r="Q862" i="34"/>
  <c r="R862" i="34"/>
  <c r="V862" i="34"/>
  <c r="AA862" i="34"/>
  <c r="X862" i="34"/>
  <c r="X867" i="34"/>
  <c r="Q867" i="34"/>
  <c r="R867" i="34"/>
  <c r="V867" i="34"/>
  <c r="AA867" i="34"/>
  <c r="AA874" i="34"/>
  <c r="X874" i="34"/>
  <c r="Q874" i="34"/>
  <c r="R874" i="34"/>
  <c r="V874" i="34"/>
  <c r="AA882" i="34"/>
  <c r="X882" i="34"/>
  <c r="Q882" i="34"/>
  <c r="R882" i="34"/>
  <c r="V882" i="34"/>
  <c r="AA641" i="34"/>
  <c r="X641" i="34"/>
  <c r="Q641" i="34"/>
  <c r="R641" i="34"/>
  <c r="V641" i="34"/>
  <c r="AA671" i="34"/>
  <c r="X671" i="34"/>
  <c r="Q671" i="34"/>
  <c r="R671" i="34"/>
  <c r="V671" i="34"/>
  <c r="AA690" i="34"/>
  <c r="X690" i="34"/>
  <c r="R690" i="34"/>
  <c r="V690" i="34"/>
  <c r="Q690" i="34"/>
  <c r="AA694" i="34"/>
  <c r="R694" i="34"/>
  <c r="V694" i="34"/>
  <c r="Q694" i="34"/>
  <c r="X694" i="34"/>
  <c r="X436" i="34"/>
  <c r="AA436" i="34"/>
  <c r="Q436" i="34"/>
  <c r="R436" i="34"/>
  <c r="V436" i="34"/>
  <c r="X440" i="34"/>
  <c r="AA440" i="34"/>
  <c r="Q440" i="34"/>
  <c r="R440" i="34"/>
  <c r="V440" i="34"/>
  <c r="X444" i="34"/>
  <c r="AA444" i="34"/>
  <c r="Q444" i="34"/>
  <c r="R444" i="34"/>
  <c r="V444" i="34"/>
  <c r="AA516" i="34"/>
  <c r="X516" i="34"/>
  <c r="Q516" i="34"/>
  <c r="R516" i="34"/>
  <c r="V516" i="34"/>
  <c r="AA711" i="34"/>
  <c r="X711" i="34"/>
  <c r="Q711" i="34"/>
  <c r="R711" i="34"/>
  <c r="V711" i="34"/>
  <c r="X346" i="34"/>
  <c r="Q346" i="34"/>
  <c r="R346" i="34"/>
  <c r="V346" i="34"/>
  <c r="AA346" i="34"/>
  <c r="Q884" i="34"/>
  <c r="R884" i="34"/>
  <c r="V884" i="34"/>
  <c r="AA884" i="34"/>
  <c r="X884" i="34"/>
  <c r="Q888" i="34"/>
  <c r="R888" i="34"/>
  <c r="V888" i="34"/>
  <c r="AA888" i="34"/>
  <c r="X888" i="34"/>
  <c r="Q894" i="34"/>
  <c r="R894" i="34"/>
  <c r="V894" i="34"/>
  <c r="AA894" i="34"/>
  <c r="X894" i="34"/>
  <c r="R198" i="34"/>
  <c r="V198" i="34"/>
  <c r="AA198" i="34"/>
  <c r="Q198" i="34"/>
  <c r="X198" i="34"/>
  <c r="X207" i="34"/>
  <c r="Q207" i="34"/>
  <c r="R207" i="34"/>
  <c r="V207" i="34"/>
  <c r="AA207" i="34"/>
  <c r="X211" i="34"/>
  <c r="Q211" i="34"/>
  <c r="R211" i="34"/>
  <c r="V211" i="34"/>
  <c r="AA211" i="34"/>
  <c r="Q218" i="34"/>
  <c r="R218" i="34"/>
  <c r="V218" i="34"/>
  <c r="AA218" i="34"/>
  <c r="X218" i="34"/>
  <c r="Q222" i="34"/>
  <c r="R222" i="34"/>
  <c r="V222" i="34"/>
  <c r="AA222" i="34"/>
  <c r="X222" i="34"/>
  <c r="AA240" i="34"/>
  <c r="X240" i="34"/>
  <c r="Q240" i="34"/>
  <c r="R240" i="34"/>
  <c r="V240" i="34"/>
  <c r="AA244" i="34"/>
  <c r="X244" i="34"/>
  <c r="Q244" i="34"/>
  <c r="R244" i="34"/>
  <c r="V244" i="34"/>
  <c r="AA571" i="34"/>
  <c r="X571" i="34"/>
  <c r="Q571" i="34"/>
  <c r="R571" i="34"/>
  <c r="V571" i="34"/>
  <c r="AA634" i="34"/>
  <c r="X634" i="34"/>
  <c r="Q634" i="34"/>
  <c r="R634" i="34"/>
  <c r="V634" i="34"/>
  <c r="R388" i="34"/>
  <c r="V388" i="34"/>
  <c r="AA388" i="34"/>
  <c r="X388" i="34"/>
  <c r="Q388" i="34"/>
  <c r="R392" i="34"/>
  <c r="V392" i="34"/>
  <c r="AA392" i="34"/>
  <c r="X392" i="34"/>
  <c r="Q392" i="34"/>
  <c r="R396" i="34"/>
  <c r="V396" i="34"/>
  <c r="AA396" i="34"/>
  <c r="X396" i="34"/>
  <c r="Q396" i="34"/>
  <c r="X426" i="34"/>
  <c r="Q426" i="34"/>
  <c r="R426" i="34"/>
  <c r="V426" i="34"/>
  <c r="AA426" i="34"/>
  <c r="X430" i="34"/>
  <c r="Q430" i="34"/>
  <c r="R430" i="34"/>
  <c r="V430" i="34"/>
  <c r="AA430" i="34"/>
  <c r="X467" i="34"/>
  <c r="AA467" i="34"/>
  <c r="Q467" i="34"/>
  <c r="R467" i="34"/>
  <c r="V467" i="34"/>
  <c r="AA502" i="34"/>
  <c r="X502" i="34"/>
  <c r="Q502" i="34"/>
  <c r="R502" i="34"/>
  <c r="V502" i="34"/>
  <c r="AA506" i="34"/>
  <c r="X506" i="34"/>
  <c r="Q506" i="34"/>
  <c r="R506" i="34"/>
  <c r="V506" i="34"/>
  <c r="R530" i="34"/>
  <c r="V530" i="34"/>
  <c r="AA530" i="34"/>
  <c r="X530" i="34"/>
  <c r="Q530" i="34"/>
  <c r="R534" i="34"/>
  <c r="V534" i="34"/>
  <c r="AA534" i="34"/>
  <c r="X534" i="34"/>
  <c r="Q534" i="34"/>
  <c r="R537" i="34"/>
  <c r="V537" i="34"/>
  <c r="AA537" i="34"/>
  <c r="X537" i="34"/>
  <c r="Q537" i="34"/>
  <c r="AA552" i="34"/>
  <c r="X552" i="34"/>
  <c r="Q552" i="34"/>
  <c r="R552" i="34"/>
  <c r="V552" i="34"/>
  <c r="AA556" i="34"/>
  <c r="X556" i="34"/>
  <c r="Q556" i="34"/>
  <c r="R556" i="34"/>
  <c r="V556" i="34"/>
  <c r="Q569" i="34"/>
  <c r="R569" i="34"/>
  <c r="V569" i="34"/>
  <c r="AA569" i="34"/>
  <c r="X569" i="34"/>
  <c r="Q575" i="34"/>
  <c r="R575" i="34"/>
  <c r="V575" i="34"/>
  <c r="AA575" i="34"/>
  <c r="X575" i="34"/>
  <c r="AA589" i="34"/>
  <c r="X589" i="34"/>
  <c r="Q589" i="34"/>
  <c r="R589" i="34"/>
  <c r="V589" i="34"/>
  <c r="AA593" i="34"/>
  <c r="X593" i="34"/>
  <c r="Q593" i="34"/>
  <c r="R593" i="34"/>
  <c r="V593" i="34"/>
  <c r="Q621" i="34"/>
  <c r="R621" i="34"/>
  <c r="V621" i="34"/>
  <c r="AA621" i="34"/>
  <c r="X621" i="34"/>
  <c r="AA148" i="34"/>
  <c r="X148" i="34"/>
  <c r="R148" i="34"/>
  <c r="V148" i="34"/>
  <c r="Q148" i="34"/>
  <c r="AA170" i="34"/>
  <c r="X170" i="34"/>
  <c r="Q170" i="34"/>
  <c r="R170" i="34"/>
  <c r="V170" i="34"/>
  <c r="AA174" i="34"/>
  <c r="X174" i="34"/>
  <c r="Q174" i="34"/>
  <c r="R174" i="34"/>
  <c r="V174" i="34"/>
  <c r="X181" i="34"/>
  <c r="Q181" i="34"/>
  <c r="R181" i="34"/>
  <c r="V181" i="34"/>
  <c r="AA181" i="34"/>
  <c r="Q191" i="34"/>
  <c r="R191" i="34"/>
  <c r="V191" i="34"/>
  <c r="AA191" i="34"/>
  <c r="X191" i="34"/>
  <c r="Q195" i="34"/>
  <c r="R195" i="34"/>
  <c r="V195" i="34"/>
  <c r="X195" i="34"/>
  <c r="AA195" i="34"/>
  <c r="X903" i="34"/>
  <c r="Q903" i="34"/>
  <c r="R903" i="34"/>
  <c r="V903" i="34"/>
  <c r="AA903" i="34"/>
  <c r="AA900" i="34"/>
  <c r="X900" i="34"/>
  <c r="Q900" i="34"/>
  <c r="R900" i="34"/>
  <c r="V900" i="34"/>
  <c r="AA908" i="34"/>
  <c r="X908" i="34"/>
  <c r="Q908" i="34"/>
  <c r="R908" i="34"/>
  <c r="V908" i="34"/>
  <c r="AA912" i="34"/>
  <c r="X912" i="34"/>
  <c r="Q912" i="34"/>
  <c r="R912" i="34"/>
  <c r="V912" i="34"/>
  <c r="AA916" i="34"/>
  <c r="X916" i="34"/>
  <c r="Q916" i="34"/>
  <c r="R916" i="34"/>
  <c r="V916" i="34"/>
  <c r="Q918" i="34"/>
  <c r="R918" i="34"/>
  <c r="V918" i="34"/>
  <c r="AA918" i="34"/>
  <c r="X918" i="34"/>
  <c r="AA924" i="34"/>
  <c r="X924" i="34"/>
  <c r="Q924" i="34"/>
  <c r="R924" i="34"/>
  <c r="V924" i="34"/>
  <c r="AA928" i="34"/>
  <c r="X928" i="34"/>
  <c r="Q928" i="34"/>
  <c r="R928" i="34"/>
  <c r="V928" i="34"/>
  <c r="AA932" i="34"/>
  <c r="X932" i="34"/>
  <c r="Q932" i="34"/>
  <c r="R932" i="34"/>
  <c r="V932" i="34"/>
  <c r="AA936" i="34"/>
  <c r="X936" i="34"/>
  <c r="Q936" i="34"/>
  <c r="R936" i="34"/>
  <c r="V936" i="34"/>
  <c r="AA942" i="34"/>
  <c r="X942" i="34"/>
  <c r="Q942" i="34"/>
  <c r="R942" i="34"/>
  <c r="V942" i="34"/>
  <c r="AA946" i="34"/>
  <c r="X946" i="34"/>
  <c r="Q946" i="34"/>
  <c r="R946" i="34"/>
  <c r="V946" i="34"/>
  <c r="AA950" i="34"/>
  <c r="X950" i="34"/>
  <c r="Q950" i="34"/>
  <c r="R950" i="34"/>
  <c r="V950" i="34"/>
  <c r="Q625" i="34"/>
  <c r="R625" i="34"/>
  <c r="V625" i="34"/>
  <c r="AA625" i="34"/>
  <c r="X625" i="34"/>
  <c r="X350" i="34"/>
  <c r="Q350" i="34"/>
  <c r="R350" i="34"/>
  <c r="V350" i="34"/>
  <c r="AA350" i="34"/>
  <c r="AA355" i="34"/>
  <c r="X355" i="34"/>
  <c r="Q355" i="34"/>
  <c r="R355" i="34"/>
  <c r="V355" i="34"/>
  <c r="AA359" i="34"/>
  <c r="X359" i="34"/>
  <c r="Q359" i="34"/>
  <c r="R359" i="34"/>
  <c r="V359" i="34"/>
  <c r="AA363" i="34"/>
  <c r="X363" i="34"/>
  <c r="Q363" i="34"/>
  <c r="R363" i="34"/>
  <c r="V363" i="34"/>
  <c r="R368" i="34"/>
  <c r="V368" i="34"/>
  <c r="AA368" i="34"/>
  <c r="X368" i="34"/>
  <c r="Q368" i="34"/>
  <c r="Q373" i="34"/>
  <c r="R373" i="34"/>
  <c r="V373" i="34"/>
  <c r="AA373" i="34"/>
  <c r="X373" i="34"/>
  <c r="Q377" i="34"/>
  <c r="R377" i="34"/>
  <c r="V377" i="34"/>
  <c r="AA377" i="34"/>
  <c r="X377" i="34"/>
  <c r="Q381" i="34"/>
  <c r="R381" i="34"/>
  <c r="V381" i="34"/>
  <c r="AA381" i="34"/>
  <c r="X381" i="34"/>
  <c r="Q385" i="34"/>
  <c r="R385" i="34"/>
  <c r="V385" i="34"/>
  <c r="AA385" i="34"/>
  <c r="X385" i="34"/>
  <c r="AA411" i="34"/>
  <c r="X411" i="34"/>
  <c r="Q411" i="34"/>
  <c r="R411" i="34"/>
  <c r="V411" i="34"/>
  <c r="X859" i="34"/>
  <c r="R859" i="34"/>
  <c r="V859" i="34"/>
  <c r="AA859" i="34"/>
  <c r="Q859" i="34"/>
  <c r="X863" i="34"/>
  <c r="Q863" i="34"/>
  <c r="R863" i="34"/>
  <c r="V863" i="34"/>
  <c r="AA863" i="34"/>
  <c r="AA868" i="34"/>
  <c r="X868" i="34"/>
  <c r="Q868" i="34"/>
  <c r="R868" i="34"/>
  <c r="V868" i="34"/>
  <c r="R875" i="34"/>
  <c r="V875" i="34"/>
  <c r="AA875" i="34"/>
  <c r="X875" i="34"/>
  <c r="Q875" i="34"/>
  <c r="R638" i="34"/>
  <c r="V638" i="34"/>
  <c r="AA638" i="34"/>
  <c r="X638" i="34"/>
  <c r="Q638" i="34"/>
  <c r="R642" i="34"/>
  <c r="V642" i="34"/>
  <c r="AA642" i="34"/>
  <c r="X642" i="34"/>
  <c r="Q642" i="34"/>
  <c r="R672" i="34"/>
  <c r="V672" i="34"/>
  <c r="AA672" i="34"/>
  <c r="Q672" i="34"/>
  <c r="X672" i="34"/>
  <c r="R691" i="34"/>
  <c r="V691" i="34"/>
  <c r="AA691" i="34"/>
  <c r="Q691" i="34"/>
  <c r="X691" i="34"/>
  <c r="R695" i="34"/>
  <c r="V695" i="34"/>
  <c r="Q695" i="34"/>
  <c r="AA695" i="34"/>
  <c r="X695" i="34"/>
  <c r="AA437" i="34"/>
  <c r="R437" i="34"/>
  <c r="V437" i="34"/>
  <c r="Q437" i="34"/>
  <c r="X437" i="34"/>
  <c r="AA441" i="34"/>
  <c r="R441" i="34"/>
  <c r="V441" i="34"/>
  <c r="Q441" i="34"/>
  <c r="X441" i="34"/>
  <c r="R488" i="34"/>
  <c r="V488" i="34"/>
  <c r="Q488" i="34"/>
  <c r="AA488" i="34"/>
  <c r="X488" i="34"/>
  <c r="R517" i="34"/>
  <c r="V517" i="34"/>
  <c r="AA517" i="34"/>
  <c r="X517" i="34"/>
  <c r="Q517" i="34"/>
  <c r="R712" i="34"/>
  <c r="V712" i="34"/>
  <c r="AA712" i="34"/>
  <c r="X712" i="34"/>
  <c r="Q712" i="34"/>
  <c r="AA347" i="34"/>
  <c r="X347" i="34"/>
  <c r="Q347" i="34"/>
  <c r="R347" i="34"/>
  <c r="V347" i="34"/>
  <c r="X885" i="34"/>
  <c r="Q885" i="34"/>
  <c r="R885" i="34"/>
  <c r="V885" i="34"/>
  <c r="AA885" i="34"/>
  <c r="X891" i="34"/>
  <c r="Q891" i="34"/>
  <c r="R891" i="34"/>
  <c r="V891" i="34"/>
  <c r="AA891" i="34"/>
  <c r="X895" i="34"/>
  <c r="Q895" i="34"/>
  <c r="R895" i="34"/>
  <c r="V895" i="34"/>
  <c r="AA895" i="34"/>
  <c r="AA204" i="34"/>
  <c r="X204" i="34"/>
  <c r="Q204" i="34"/>
  <c r="R204" i="34"/>
  <c r="V204" i="34"/>
  <c r="AA208" i="34"/>
  <c r="X208" i="34"/>
  <c r="Q208" i="34"/>
  <c r="R208" i="34"/>
  <c r="V208" i="34"/>
  <c r="AA212" i="34"/>
  <c r="X212" i="34"/>
  <c r="Q212" i="34"/>
  <c r="R212" i="34"/>
  <c r="V212" i="34"/>
  <c r="X219" i="34"/>
  <c r="Q219" i="34"/>
  <c r="R219" i="34"/>
  <c r="V219" i="34"/>
  <c r="AA219" i="34"/>
  <c r="X223" i="34"/>
  <c r="Q223" i="34"/>
  <c r="R223" i="34"/>
  <c r="V223" i="34"/>
  <c r="AA223" i="34"/>
  <c r="R241" i="34"/>
  <c r="V241" i="34"/>
  <c r="AA241" i="34"/>
  <c r="X241" i="34"/>
  <c r="Q241" i="34"/>
  <c r="R245" i="34"/>
  <c r="V245" i="34"/>
  <c r="AA245" i="34"/>
  <c r="X245" i="34"/>
  <c r="Q245" i="34"/>
  <c r="R572" i="34"/>
  <c r="V572" i="34"/>
  <c r="AA572" i="34"/>
  <c r="X572" i="34"/>
  <c r="Q572" i="34"/>
  <c r="X652" i="34"/>
  <c r="Q652" i="34"/>
  <c r="R652" i="34"/>
  <c r="V652" i="34"/>
  <c r="AA652" i="34"/>
  <c r="Q389" i="34"/>
  <c r="R389" i="34"/>
  <c r="V389" i="34"/>
  <c r="AA389" i="34"/>
  <c r="X389" i="34"/>
  <c r="Q393" i="34"/>
  <c r="R393" i="34"/>
  <c r="V393" i="34"/>
  <c r="AA393" i="34"/>
  <c r="X393" i="34"/>
  <c r="AA423" i="34"/>
  <c r="X423" i="34"/>
  <c r="Q423" i="34"/>
  <c r="R423" i="34"/>
  <c r="V423" i="34"/>
  <c r="AA427" i="34"/>
  <c r="X427" i="34"/>
  <c r="Q427" i="34"/>
  <c r="R427" i="34"/>
  <c r="V427" i="34"/>
  <c r="AA431" i="34"/>
  <c r="X431" i="34"/>
  <c r="Q431" i="34"/>
  <c r="R431" i="34"/>
  <c r="V431" i="34"/>
  <c r="AA468" i="34"/>
  <c r="R468" i="34"/>
  <c r="V468" i="34"/>
  <c r="Q468" i="34"/>
  <c r="X468" i="34"/>
  <c r="AA471" i="34"/>
  <c r="R471" i="34"/>
  <c r="V471" i="34"/>
  <c r="Q471" i="34"/>
  <c r="X471" i="34"/>
  <c r="R503" i="34"/>
  <c r="V503" i="34"/>
  <c r="AA503" i="34"/>
  <c r="X503" i="34"/>
  <c r="Q503" i="34"/>
  <c r="R507" i="34"/>
  <c r="V507" i="34"/>
  <c r="AA507" i="34"/>
  <c r="X507" i="34"/>
  <c r="Q507" i="34"/>
  <c r="Q531" i="34"/>
  <c r="R531" i="34"/>
  <c r="V531" i="34"/>
  <c r="AA531" i="34"/>
  <c r="X531" i="34"/>
  <c r="Q535" i="34"/>
  <c r="R535" i="34"/>
  <c r="V535" i="34"/>
  <c r="AA535" i="34"/>
  <c r="X535" i="34"/>
  <c r="R549" i="34"/>
  <c r="V549" i="34"/>
  <c r="AA549" i="34"/>
  <c r="X549" i="34"/>
  <c r="Q549" i="34"/>
  <c r="R553" i="34"/>
  <c r="V553" i="34"/>
  <c r="AA553" i="34"/>
  <c r="X553" i="34"/>
  <c r="Q553" i="34"/>
  <c r="R562" i="34"/>
  <c r="V562" i="34"/>
  <c r="AA562" i="34"/>
  <c r="X562" i="34"/>
  <c r="Q562" i="34"/>
  <c r="X570" i="34"/>
  <c r="Q570" i="34"/>
  <c r="R570" i="34"/>
  <c r="V570" i="34"/>
  <c r="AA570" i="34"/>
  <c r="X576" i="34"/>
  <c r="Q576" i="34"/>
  <c r="R576" i="34"/>
  <c r="V576" i="34"/>
  <c r="AA576" i="34"/>
  <c r="R590" i="34"/>
  <c r="V590" i="34"/>
  <c r="AA590" i="34"/>
  <c r="X590" i="34"/>
  <c r="Q590" i="34"/>
  <c r="R594" i="34"/>
  <c r="V594" i="34"/>
  <c r="X594" i="34"/>
  <c r="Q594" i="34"/>
  <c r="AA594" i="34"/>
  <c r="X622" i="34"/>
  <c r="Q622" i="34"/>
  <c r="R622" i="34"/>
  <c r="V622" i="34"/>
  <c r="AA622" i="34"/>
  <c r="AA131" i="34"/>
  <c r="X131" i="34"/>
  <c r="Q131" i="34"/>
  <c r="R131" i="34"/>
  <c r="V131" i="34"/>
  <c r="R171" i="34"/>
  <c r="V171" i="34"/>
  <c r="AA171" i="34"/>
  <c r="X171" i="34"/>
  <c r="Q171" i="34"/>
  <c r="R175" i="34"/>
  <c r="V175" i="34"/>
  <c r="AA175" i="34"/>
  <c r="X175" i="34"/>
  <c r="Q175" i="34"/>
  <c r="AA182" i="34"/>
  <c r="X182" i="34"/>
  <c r="Q182" i="34"/>
  <c r="R182" i="34"/>
  <c r="V182" i="34"/>
  <c r="X192" i="34"/>
  <c r="Q192" i="34"/>
  <c r="AA192" i="34"/>
  <c r="R192" i="34"/>
  <c r="V192" i="34"/>
  <c r="B84" i="34"/>
  <c r="B85" i="34"/>
  <c r="B113" i="34"/>
  <c r="B957" i="34"/>
  <c r="B399" i="34"/>
  <c r="P399" i="34" l="1"/>
  <c r="A399" i="34"/>
  <c r="P84" i="34"/>
  <c r="A84" i="34"/>
  <c r="P957" i="34"/>
  <c r="A957" i="34"/>
  <c r="P85" i="34"/>
  <c r="A85" i="34"/>
  <c r="P113" i="34"/>
  <c r="A113" i="34"/>
  <c r="AA399" i="34"/>
  <c r="X399" i="34"/>
  <c r="Q399" i="34"/>
  <c r="R399" i="34"/>
  <c r="V399" i="34"/>
  <c r="R113" i="34"/>
  <c r="V113" i="34"/>
  <c r="AA113" i="34"/>
  <c r="X113" i="34"/>
  <c r="Q113" i="34"/>
  <c r="X957" i="34"/>
  <c r="Q957" i="34"/>
  <c r="R957" i="34"/>
  <c r="V957" i="34"/>
  <c r="AA957" i="34"/>
  <c r="AA85" i="34"/>
  <c r="X85" i="34"/>
  <c r="Q85" i="34"/>
  <c r="R85" i="34"/>
  <c r="V85" i="34"/>
  <c r="X84" i="34"/>
  <c r="Q84" i="34"/>
  <c r="R84" i="34"/>
  <c r="V84" i="34"/>
  <c r="AA84" i="34"/>
  <c r="B970" i="34"/>
  <c r="P970" i="34" l="1"/>
  <c r="A970" i="34"/>
  <c r="AA970" i="34"/>
  <c r="X970" i="34"/>
  <c r="Q970" i="34"/>
  <c r="R970" i="34"/>
  <c r="V970" i="34"/>
  <c r="I18" i="54" l="1"/>
  <c r="B24" i="34"/>
  <c r="A24" i="34" s="1"/>
  <c r="P24" i="34" l="1"/>
  <c r="Q24" i="34"/>
  <c r="R24" i="34"/>
  <c r="V24" i="34"/>
  <c r="AA24" i="34"/>
  <c r="X24" i="34"/>
  <c r="N11" i="34"/>
  <c r="N12" i="34"/>
  <c r="N13" i="34"/>
  <c r="N10" i="34"/>
  <c r="N5" i="77"/>
  <c r="O5" i="77" l="1"/>
  <c r="L5" i="75"/>
  <c r="M5" i="75"/>
  <c r="P5" i="74"/>
  <c r="O5" i="74"/>
  <c r="B951" i="34" l="1"/>
  <c r="B956" i="34"/>
  <c r="B397" i="34"/>
  <c r="B398" i="34"/>
  <c r="P397" i="34" l="1"/>
  <c r="A397" i="34"/>
  <c r="P956" i="34"/>
  <c r="A956" i="34"/>
  <c r="P398" i="34"/>
  <c r="A398" i="34"/>
  <c r="P951" i="34"/>
  <c r="A951" i="34"/>
  <c r="Q397" i="34"/>
  <c r="R397" i="34"/>
  <c r="V397" i="34"/>
  <c r="AA397" i="34"/>
  <c r="X397" i="34"/>
  <c r="R951" i="34"/>
  <c r="V951" i="34"/>
  <c r="AA951" i="34"/>
  <c r="X951" i="34"/>
  <c r="Q951" i="34"/>
  <c r="X398" i="34"/>
  <c r="Q398" i="34"/>
  <c r="R398" i="34"/>
  <c r="V398" i="34"/>
  <c r="AA398" i="34"/>
  <c r="Q956" i="34"/>
  <c r="R956" i="34"/>
  <c r="V956" i="34"/>
  <c r="AA956" i="34"/>
  <c r="X956" i="34"/>
  <c r="B125" i="34"/>
  <c r="B124" i="34"/>
  <c r="P124" i="34" l="1"/>
  <c r="X124" i="34"/>
  <c r="AA124" i="34"/>
  <c r="V124" i="34"/>
  <c r="R124" i="34"/>
  <c r="Q124" i="34"/>
  <c r="X125" i="34"/>
  <c r="AA125" i="34"/>
  <c r="V125" i="34"/>
  <c r="R125" i="34"/>
  <c r="Q125" i="34"/>
  <c r="P125" i="34"/>
  <c r="A124" i="34"/>
  <c r="A125" i="34"/>
  <c r="B201" i="34"/>
  <c r="B126" i="34"/>
  <c r="B14" i="55"/>
  <c r="A14" i="55" s="1"/>
  <c r="D5" i="61"/>
  <c r="R7" i="60"/>
  <c r="E12" i="61"/>
  <c r="D12" i="61"/>
  <c r="H12" i="61"/>
  <c r="F12" i="61"/>
  <c r="C12" i="61"/>
  <c r="I12" i="61"/>
  <c r="G12" i="61"/>
  <c r="P126" i="34" l="1"/>
  <c r="A126" i="34"/>
  <c r="P201" i="34"/>
  <c r="A201" i="34"/>
  <c r="R23" i="60"/>
  <c r="R30" i="60" s="1"/>
  <c r="R37" i="60" s="1"/>
  <c r="R40" i="60" s="1"/>
  <c r="R126" i="34"/>
  <c r="V126" i="34"/>
  <c r="AA126" i="34"/>
  <c r="X126" i="34"/>
  <c r="Q126" i="34"/>
  <c r="X201" i="34"/>
  <c r="R201" i="34"/>
  <c r="V201" i="34"/>
  <c r="AA201" i="34"/>
  <c r="Q201" i="34"/>
  <c r="K57" i="60" l="1"/>
  <c r="K75" i="60"/>
  <c r="K87" i="60"/>
  <c r="K95" i="60"/>
  <c r="K107" i="60"/>
  <c r="K60" i="60"/>
  <c r="K68" i="60"/>
  <c r="K76" i="60"/>
  <c r="K84" i="60"/>
  <c r="K92" i="60"/>
  <c r="K100" i="60"/>
  <c r="K108" i="60"/>
  <c r="K103" i="60"/>
  <c r="K69" i="60"/>
  <c r="K61" i="60"/>
  <c r="K77" i="60"/>
  <c r="K89" i="60"/>
  <c r="K97" i="60"/>
  <c r="K54" i="60"/>
  <c r="K62" i="60"/>
  <c r="K70" i="60"/>
  <c r="K78" i="60"/>
  <c r="K86" i="60"/>
  <c r="K94" i="60"/>
  <c r="K102" i="60"/>
  <c r="K55" i="60"/>
  <c r="K53" i="60"/>
  <c r="K73" i="60"/>
  <c r="K67" i="60"/>
  <c r="K83" i="60"/>
  <c r="K91" i="60"/>
  <c r="K99" i="60"/>
  <c r="K56" i="60"/>
  <c r="K64" i="60"/>
  <c r="K72" i="60"/>
  <c r="K80" i="60"/>
  <c r="K88" i="60"/>
  <c r="K96" i="60"/>
  <c r="K104" i="60"/>
  <c r="K65" i="60"/>
  <c r="K59" i="60"/>
  <c r="K79" i="60"/>
  <c r="K71" i="60"/>
  <c r="K85" i="60"/>
  <c r="K93" i="60"/>
  <c r="K101" i="60"/>
  <c r="K58" i="60"/>
  <c r="K66" i="60"/>
  <c r="K74" i="60"/>
  <c r="K82" i="60"/>
  <c r="K90" i="60"/>
  <c r="K98" i="60"/>
  <c r="K106" i="60"/>
  <c r="K81" i="60"/>
  <c r="K63" i="60"/>
  <c r="K105" i="60"/>
  <c r="K109" i="60"/>
  <c r="K117" i="60"/>
  <c r="K125" i="60"/>
  <c r="K112" i="60"/>
  <c r="K120" i="60"/>
  <c r="K128" i="60"/>
  <c r="K119" i="60"/>
  <c r="K113" i="60"/>
  <c r="K116" i="60"/>
  <c r="K115" i="60"/>
  <c r="K123" i="60"/>
  <c r="K110" i="60"/>
  <c r="K118" i="60"/>
  <c r="K126" i="60"/>
  <c r="K111" i="60"/>
  <c r="K127" i="60"/>
  <c r="K114" i="60"/>
  <c r="K122" i="60"/>
  <c r="K121" i="60"/>
  <c r="K129" i="60"/>
  <c r="K124" i="60"/>
  <c r="K6" i="60"/>
  <c r="K7" i="60"/>
  <c r="K10" i="60"/>
  <c r="K16" i="60"/>
  <c r="K21" i="60"/>
  <c r="K26" i="60"/>
  <c r="K32" i="60"/>
  <c r="K37" i="60"/>
  <c r="K42" i="60"/>
  <c r="K48" i="60"/>
  <c r="K12" i="60"/>
  <c r="K17" i="60"/>
  <c r="K22" i="60"/>
  <c r="K28" i="60"/>
  <c r="K33" i="60"/>
  <c r="K38" i="60"/>
  <c r="K44" i="60"/>
  <c r="K49" i="60"/>
  <c r="K8" i="60"/>
  <c r="K13" i="60"/>
  <c r="K18" i="60"/>
  <c r="K24" i="60"/>
  <c r="K29" i="60"/>
  <c r="K34" i="60"/>
  <c r="K40" i="60"/>
  <c r="K45" i="60"/>
  <c r="K50" i="60"/>
  <c r="K9" i="60"/>
  <c r="K14" i="60"/>
  <c r="K20" i="60"/>
  <c r="K25" i="60"/>
  <c r="K30" i="60"/>
  <c r="K36" i="60"/>
  <c r="K41" i="60"/>
  <c r="K46" i="60"/>
  <c r="K52" i="60"/>
  <c r="K43" i="60"/>
  <c r="K27" i="60"/>
  <c r="K11" i="60"/>
  <c r="K39" i="60"/>
  <c r="K23" i="60"/>
  <c r="K51" i="60"/>
  <c r="K35" i="60"/>
  <c r="K19" i="60"/>
  <c r="K47" i="60"/>
  <c r="K31" i="60"/>
  <c r="K15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S13" i="34"/>
  <c r="T13" i="34"/>
  <c r="U13" i="34"/>
  <c r="Y13" i="34"/>
  <c r="Z13" i="34"/>
  <c r="B39" i="34" l="1"/>
  <c r="B38" i="34"/>
  <c r="P38" i="34" l="1"/>
  <c r="A38" i="34"/>
  <c r="P39" i="34"/>
  <c r="A39" i="34"/>
  <c r="X38" i="34"/>
  <c r="Q38" i="34"/>
  <c r="R38" i="34"/>
  <c r="V38" i="34"/>
  <c r="AA38" i="34"/>
  <c r="AA39" i="34"/>
  <c r="X39" i="34"/>
  <c r="Q39" i="34"/>
  <c r="R39" i="34"/>
  <c r="V39" i="34"/>
  <c r="B30" i="55"/>
  <c r="A30" i="55" s="1"/>
  <c r="A31" i="55"/>
  <c r="T10" i="34"/>
  <c r="I27" i="55" l="1" a="1"/>
  <c r="I27" i="55" s="1"/>
  <c r="G26" i="55" a="1"/>
  <c r="G26" i="55" s="1"/>
  <c r="I26" i="55" a="1"/>
  <c r="I26" i="55" s="1"/>
  <c r="I20" i="55" a="1"/>
  <c r="I20" i="55" s="1"/>
  <c r="G27" i="55" a="1"/>
  <c r="G27" i="55" s="1"/>
  <c r="K27" i="55" s="1"/>
  <c r="G20" i="55" a="1"/>
  <c r="G20" i="55" s="1"/>
  <c r="I184" i="55" a="1"/>
  <c r="I184" i="55" s="1"/>
  <c r="I88" i="55" a="1"/>
  <c r="I88" i="55" s="1"/>
  <c r="I215" i="55" a="1"/>
  <c r="I215" i="55" s="1"/>
  <c r="I155" i="55" a="1"/>
  <c r="I155" i="55" s="1"/>
  <c r="G56" i="55" a="1"/>
  <c r="G56" i="55" s="1"/>
  <c r="G185" i="55" a="1"/>
  <c r="G185" i="55" s="1"/>
  <c r="G58" i="55" a="1"/>
  <c r="G58" i="55" s="1"/>
  <c r="G33" i="55" a="1"/>
  <c r="G33" i="55" s="1"/>
  <c r="G68" i="55" a="1"/>
  <c r="G68" i="55" s="1"/>
  <c r="G51" i="55" a="1"/>
  <c r="G51" i="55" s="1"/>
  <c r="G158" i="55" a="1"/>
  <c r="G158" i="55" s="1"/>
  <c r="G160" i="55" a="1"/>
  <c r="G160" i="55" s="1"/>
  <c r="I160" i="55" a="1"/>
  <c r="I160" i="55" s="1"/>
  <c r="I75" i="55" a="1"/>
  <c r="I75" i="55" s="1"/>
  <c r="I87" i="55" a="1"/>
  <c r="I87" i="55" s="1"/>
  <c r="I56" i="55" a="1"/>
  <c r="I56" i="55" s="1"/>
  <c r="I185" i="55" a="1"/>
  <c r="I185" i="55" s="1"/>
  <c r="I58" i="55" a="1"/>
  <c r="I58" i="55" s="1"/>
  <c r="I33" i="55" a="1"/>
  <c r="I33" i="55" s="1"/>
  <c r="I68" i="55" a="1"/>
  <c r="I68" i="55" s="1"/>
  <c r="I51" i="55" a="1"/>
  <c r="I51" i="55" s="1"/>
  <c r="I158" i="55" a="1"/>
  <c r="I158" i="55" s="1"/>
  <c r="G184" i="55" a="1"/>
  <c r="G184" i="55" s="1"/>
  <c r="G88" i="55" a="1"/>
  <c r="G88" i="55" s="1"/>
  <c r="G215" i="55" a="1"/>
  <c r="G215" i="55" s="1"/>
  <c r="G155" i="55" a="1"/>
  <c r="G155" i="55" s="1"/>
  <c r="I189" i="55" a="1"/>
  <c r="I189" i="55" s="1"/>
  <c r="G163" i="55" a="1"/>
  <c r="G163" i="55" s="1"/>
  <c r="G72" i="55" a="1"/>
  <c r="G72" i="55" s="1"/>
  <c r="G172" i="55" a="1"/>
  <c r="G172" i="55" s="1"/>
  <c r="G107" i="55" a="1"/>
  <c r="G107" i="55" s="1"/>
  <c r="G75" i="55" a="1"/>
  <c r="G75" i="55" s="1"/>
  <c r="G87" i="55" a="1"/>
  <c r="G87" i="55" s="1"/>
  <c r="I131" i="55" a="1"/>
  <c r="I131" i="55" s="1"/>
  <c r="I74" i="55" a="1"/>
  <c r="I74" i="55" s="1"/>
  <c r="I109" i="55" a="1"/>
  <c r="I109" i="55" s="1"/>
  <c r="I179" i="55" a="1"/>
  <c r="I179" i="55" s="1"/>
  <c r="I144" i="55" a="1"/>
  <c r="I144" i="55" s="1"/>
  <c r="I114" i="55" a="1"/>
  <c r="I114" i="55" s="1"/>
  <c r="G131" i="55" a="1"/>
  <c r="G131" i="55" s="1"/>
  <c r="G74" i="55" a="1"/>
  <c r="G74" i="55" s="1"/>
  <c r="G109" i="55" a="1"/>
  <c r="G109" i="55" s="1"/>
  <c r="G179" i="55" a="1"/>
  <c r="G179" i="55" s="1"/>
  <c r="G144" i="55" a="1"/>
  <c r="G144" i="55" s="1"/>
  <c r="G114" i="55" a="1"/>
  <c r="G114" i="55" s="1"/>
  <c r="G189" i="55" a="1"/>
  <c r="G189" i="55" s="1"/>
  <c r="I163" i="55" a="1"/>
  <c r="I163" i="55" s="1"/>
  <c r="I72" i="55" a="1"/>
  <c r="I72" i="55" s="1"/>
  <c r="I172" i="55" a="1"/>
  <c r="I172" i="55" s="1"/>
  <c r="I107" i="55" a="1"/>
  <c r="I107" i="55" s="1"/>
  <c r="G176" i="55" a="1"/>
  <c r="G176" i="55" s="1"/>
  <c r="I47" i="55" a="1"/>
  <c r="I47" i="55" s="1"/>
  <c r="I41" i="55" a="1"/>
  <c r="I41" i="55" s="1"/>
  <c r="G86" i="55" a="1"/>
  <c r="G86" i="55" s="1"/>
  <c r="G39" i="55" a="1"/>
  <c r="G39" i="55" s="1"/>
  <c r="G202" i="55" a="1"/>
  <c r="G202" i="55" s="1"/>
  <c r="I200" i="55" a="1"/>
  <c r="I200" i="55" s="1"/>
  <c r="I176" i="55" a="1"/>
  <c r="I176" i="55" s="1"/>
  <c r="G167" i="55" a="1"/>
  <c r="G167" i="55" s="1"/>
  <c r="G164" i="55" a="1"/>
  <c r="G164" i="55" s="1"/>
  <c r="I64" i="55" a="1"/>
  <c r="I64" i="55" s="1"/>
  <c r="G34" i="55" a="1"/>
  <c r="G34" i="55" s="1"/>
  <c r="I86" i="55" a="1"/>
  <c r="I86" i="55" s="1"/>
  <c r="I39" i="55" a="1"/>
  <c r="I39" i="55" s="1"/>
  <c r="G64" i="55" a="1"/>
  <c r="G64" i="55" s="1"/>
  <c r="I147" i="55" a="1"/>
  <c r="I147" i="55" s="1"/>
  <c r="I206" i="55" a="1"/>
  <c r="I206" i="55" s="1"/>
  <c r="G85" i="55" a="1"/>
  <c r="G85" i="55" s="1"/>
  <c r="G42" i="55" a="1"/>
  <c r="G42" i="55" s="1"/>
  <c r="I59" i="55" a="1"/>
  <c r="I59" i="55" s="1"/>
  <c r="I170" i="55" a="1"/>
  <c r="I170" i="55" s="1"/>
  <c r="I169" i="55" a="1"/>
  <c r="I169" i="55" s="1"/>
  <c r="I162" i="55" a="1"/>
  <c r="I162" i="55" s="1"/>
  <c r="G147" i="55" a="1"/>
  <c r="G147" i="55" s="1"/>
  <c r="G206" i="55" a="1"/>
  <c r="G206" i="55" s="1"/>
  <c r="I197" i="55" a="1"/>
  <c r="I197" i="55" s="1"/>
  <c r="I195" i="55" a="1"/>
  <c r="I195" i="55" s="1"/>
  <c r="G38" i="55" a="1"/>
  <c r="G38" i="55" s="1"/>
  <c r="I85" i="55" a="1"/>
  <c r="I85" i="55" s="1"/>
  <c r="I42" i="55" a="1"/>
  <c r="I42" i="55" s="1"/>
  <c r="G47" i="55" a="1"/>
  <c r="G47" i="55" s="1"/>
  <c r="G41" i="55" a="1"/>
  <c r="G41" i="55" s="1"/>
  <c r="G200" i="55" a="1"/>
  <c r="G200" i="55" s="1"/>
  <c r="I166" i="55" a="1"/>
  <c r="I166" i="55" s="1"/>
  <c r="I38" i="55" a="1"/>
  <c r="I38" i="55" s="1"/>
  <c r="I167" i="55" a="1"/>
  <c r="I167" i="55" s="1"/>
  <c r="I164" i="55" a="1"/>
  <c r="I164" i="55" s="1"/>
  <c r="G197" i="55" a="1"/>
  <c r="G197" i="55" s="1"/>
  <c r="G195" i="55" a="1"/>
  <c r="G195" i="55" s="1"/>
  <c r="G59" i="55" a="1"/>
  <c r="G59" i="55" s="1"/>
  <c r="I34" i="55" a="1"/>
  <c r="I34" i="55" s="1"/>
  <c r="G166" i="55" a="1"/>
  <c r="G166" i="55" s="1"/>
  <c r="G170" i="55" a="1"/>
  <c r="G170" i="55" s="1"/>
  <c r="G169" i="55" a="1"/>
  <c r="G169" i="55" s="1"/>
  <c r="G162" i="55" a="1"/>
  <c r="G162" i="55" s="1"/>
  <c r="I202" i="55" a="1"/>
  <c r="I202" i="55" s="1"/>
  <c r="A3" i="15"/>
  <c r="A2" i="15"/>
  <c r="N8" i="73"/>
  <c r="M8" i="73"/>
  <c r="A2" i="73"/>
  <c r="A1" i="73"/>
  <c r="K87" i="55" l="1"/>
  <c r="K215" i="55"/>
  <c r="K109" i="55"/>
  <c r="K144" i="55"/>
  <c r="K114" i="55"/>
  <c r="K179" i="55"/>
  <c r="K75" i="55"/>
  <c r="K74" i="55"/>
  <c r="K200" i="55"/>
  <c r="K184" i="55"/>
  <c r="K88" i="55"/>
  <c r="K131" i="55"/>
  <c r="K155" i="55"/>
  <c r="K41" i="55"/>
  <c r="K47" i="55"/>
  <c r="K189" i="55"/>
  <c r="K169" i="55"/>
  <c r="K170" i="55"/>
  <c r="K20" i="55"/>
  <c r="K26" i="55"/>
  <c r="K206" i="55"/>
  <c r="K162" i="55"/>
  <c r="K64" i="55"/>
  <c r="K147" i="55"/>
  <c r="K107" i="55"/>
  <c r="K163" i="55"/>
  <c r="K160" i="55"/>
  <c r="K68" i="55"/>
  <c r="K33" i="55"/>
  <c r="K185" i="55"/>
  <c r="K56" i="55"/>
  <c r="K172" i="55"/>
  <c r="K72" i="55"/>
  <c r="K158" i="55"/>
  <c r="K51" i="55"/>
  <c r="K58" i="55"/>
  <c r="K197" i="55"/>
  <c r="K195" i="55"/>
  <c r="K59" i="55"/>
  <c r="K38" i="55"/>
  <c r="K85" i="55"/>
  <c r="K164" i="55"/>
  <c r="K202" i="55"/>
  <c r="K167" i="55"/>
  <c r="K34" i="55"/>
  <c r="K39" i="55"/>
  <c r="K176" i="55"/>
  <c r="K166" i="55"/>
  <c r="K42" i="55"/>
  <c r="K86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455" i="34" l="1"/>
  <c r="B454" i="34"/>
  <c r="B433" i="34"/>
  <c r="B452" i="34"/>
  <c r="B451" i="34"/>
  <c r="B450" i="34"/>
  <c r="B449" i="34"/>
  <c r="B448" i="34"/>
  <c r="B447" i="34"/>
  <c r="B952" i="34"/>
  <c r="B495" i="34"/>
  <c r="B494" i="34"/>
  <c r="B482" i="34"/>
  <c r="B481" i="34"/>
  <c r="B421" i="34"/>
  <c r="B529" i="34"/>
  <c r="B528" i="34"/>
  <c r="B234" i="34"/>
  <c r="B233" i="34"/>
  <c r="B232" i="34"/>
  <c r="B229" i="34"/>
  <c r="B202" i="34"/>
  <c r="B189" i="34"/>
  <c r="B203" i="34"/>
  <c r="B226" i="34"/>
  <c r="B227" i="34"/>
  <c r="B228" i="34"/>
  <c r="B230" i="34"/>
  <c r="B231" i="34"/>
  <c r="B235" i="34"/>
  <c r="B236" i="34"/>
  <c r="B237" i="34"/>
  <c r="B238" i="34"/>
  <c r="B250" i="34"/>
  <c r="B251" i="34"/>
  <c r="B953" i="34"/>
  <c r="B954" i="34"/>
  <c r="B434" i="34"/>
  <c r="B456" i="34"/>
  <c r="B457" i="34"/>
  <c r="B458" i="34"/>
  <c r="B459" i="34"/>
  <c r="B460" i="34"/>
  <c r="B462" i="34"/>
  <c r="B463" i="34"/>
  <c r="B464" i="34"/>
  <c r="B473" i="34"/>
  <c r="B474" i="34"/>
  <c r="B476" i="34"/>
  <c r="B477" i="34"/>
  <c r="B478" i="34"/>
  <c r="B479" i="34"/>
  <c r="B480" i="34"/>
  <c r="B484" i="34"/>
  <c r="B485" i="34"/>
  <c r="B486" i="34"/>
  <c r="B487" i="34"/>
  <c r="B491" i="34"/>
  <c r="B492" i="34"/>
  <c r="B493" i="34"/>
  <c r="B510" i="34"/>
  <c r="B511" i="34"/>
  <c r="B523" i="34"/>
  <c r="B524" i="34"/>
  <c r="B513" i="34"/>
  <c r="B526" i="34"/>
  <c r="B527" i="34"/>
  <c r="B542" i="34"/>
  <c r="B543" i="34"/>
  <c r="B544" i="34"/>
  <c r="B545" i="34"/>
  <c r="B546" i="34"/>
  <c r="B547" i="34"/>
  <c r="B548" i="34"/>
  <c r="B598" i="34"/>
  <c r="B599" i="34"/>
  <c r="B600" i="34"/>
  <c r="B601" i="34"/>
  <c r="B496" i="34"/>
  <c r="B497" i="34"/>
  <c r="B498" i="34"/>
  <c r="B499" i="34"/>
  <c r="B500" i="34"/>
  <c r="B519" i="34"/>
  <c r="B520" i="34"/>
  <c r="B521" i="34"/>
  <c r="B522" i="34"/>
  <c r="B579" i="34"/>
  <c r="B580" i="34"/>
  <c r="B581" i="34"/>
  <c r="B582" i="34"/>
  <c r="B583" i="34"/>
  <c r="B586" i="34"/>
  <c r="B587" i="34"/>
  <c r="B588" i="34"/>
  <c r="B609" i="34"/>
  <c r="B610" i="34"/>
  <c r="B611" i="34"/>
  <c r="B612" i="34"/>
  <c r="B613" i="34"/>
  <c r="B614" i="34"/>
  <c r="B615" i="34"/>
  <c r="B618" i="34"/>
  <c r="B619" i="34"/>
  <c r="B620" i="34"/>
  <c r="B626" i="34"/>
  <c r="B627" i="34"/>
  <c r="B628" i="34"/>
  <c r="B629" i="34"/>
  <c r="B630" i="34"/>
  <c r="B616" i="34"/>
  <c r="B617" i="34"/>
  <c r="B631" i="34"/>
  <c r="B632" i="34"/>
  <c r="B633" i="34"/>
  <c r="B643" i="34"/>
  <c r="B644" i="34"/>
  <c r="B645" i="34"/>
  <c r="B646" i="34"/>
  <c r="B647" i="34"/>
  <c r="B648" i="34"/>
  <c r="B649" i="34"/>
  <c r="B650" i="34"/>
  <c r="B653" i="34"/>
  <c r="B654" i="34"/>
  <c r="B655" i="34"/>
  <c r="B656" i="34"/>
  <c r="B657" i="34"/>
  <c r="B658" i="34"/>
  <c r="B602" i="34"/>
  <c r="B603" i="34"/>
  <c r="B604" i="34"/>
  <c r="B605" i="34"/>
  <c r="B606" i="34"/>
  <c r="B607" i="34"/>
  <c r="B659" i="34"/>
  <c r="B660" i="34"/>
  <c r="B661" i="34"/>
  <c r="I13" i="71"/>
  <c r="O11" i="42"/>
  <c r="N11" i="42"/>
  <c r="P659" i="34" l="1"/>
  <c r="A659" i="34"/>
  <c r="P604" i="34"/>
  <c r="A604" i="34"/>
  <c r="P657" i="34"/>
  <c r="A657" i="34"/>
  <c r="P653" i="34"/>
  <c r="A653" i="34"/>
  <c r="P647" i="34"/>
  <c r="A647" i="34"/>
  <c r="P643" i="34"/>
  <c r="A643" i="34"/>
  <c r="P617" i="34"/>
  <c r="A617" i="34"/>
  <c r="P628" i="34"/>
  <c r="A628" i="34"/>
  <c r="P619" i="34"/>
  <c r="A619" i="34"/>
  <c r="P613" i="34"/>
  <c r="A613" i="34"/>
  <c r="P609" i="34"/>
  <c r="A609" i="34"/>
  <c r="P583" i="34"/>
  <c r="A583" i="34"/>
  <c r="P579" i="34"/>
  <c r="A579" i="34"/>
  <c r="P519" i="34"/>
  <c r="A519" i="34"/>
  <c r="P497" i="34"/>
  <c r="A497" i="34"/>
  <c r="P599" i="34"/>
  <c r="A599" i="34"/>
  <c r="P546" i="34"/>
  <c r="A546" i="34"/>
  <c r="P542" i="34"/>
  <c r="A542" i="34"/>
  <c r="P524" i="34"/>
  <c r="A524" i="34"/>
  <c r="P493" i="34"/>
  <c r="A493" i="34"/>
  <c r="P486" i="34"/>
  <c r="A486" i="34"/>
  <c r="P479" i="34"/>
  <c r="A479" i="34"/>
  <c r="P474" i="34"/>
  <c r="A474" i="34"/>
  <c r="P462" i="34"/>
  <c r="A462" i="34"/>
  <c r="P457" i="34"/>
  <c r="A457" i="34"/>
  <c r="P953" i="34"/>
  <c r="A953" i="34"/>
  <c r="P237" i="34"/>
  <c r="A237" i="34"/>
  <c r="P230" i="34"/>
  <c r="A230" i="34"/>
  <c r="P203" i="34"/>
  <c r="A203" i="34"/>
  <c r="P232" i="34"/>
  <c r="A232" i="34"/>
  <c r="P529" i="34"/>
  <c r="A529" i="34"/>
  <c r="P494" i="34"/>
  <c r="A494" i="34"/>
  <c r="P448" i="34"/>
  <c r="A448" i="34"/>
  <c r="P452" i="34"/>
  <c r="A452" i="34"/>
  <c r="P607" i="34"/>
  <c r="A607" i="34"/>
  <c r="P603" i="34"/>
  <c r="A603" i="34"/>
  <c r="P656" i="34"/>
  <c r="A656" i="34"/>
  <c r="P650" i="34"/>
  <c r="A650" i="34"/>
  <c r="P646" i="34"/>
  <c r="A646" i="34"/>
  <c r="P633" i="34"/>
  <c r="A633" i="34"/>
  <c r="P616" i="34"/>
  <c r="A616" i="34"/>
  <c r="P627" i="34"/>
  <c r="A627" i="34"/>
  <c r="P618" i="34"/>
  <c r="A618" i="34"/>
  <c r="P612" i="34"/>
  <c r="A612" i="34"/>
  <c r="P588" i="34"/>
  <c r="A588" i="34"/>
  <c r="P582" i="34"/>
  <c r="A582" i="34"/>
  <c r="P522" i="34"/>
  <c r="A522" i="34"/>
  <c r="P500" i="34"/>
  <c r="A500" i="34"/>
  <c r="P496" i="34"/>
  <c r="A496" i="34"/>
  <c r="P598" i="34"/>
  <c r="A598" i="34"/>
  <c r="P545" i="34"/>
  <c r="A545" i="34"/>
  <c r="P527" i="34"/>
  <c r="A527" i="34"/>
  <c r="P523" i="34"/>
  <c r="A523" i="34"/>
  <c r="P492" i="34"/>
  <c r="A492" i="34"/>
  <c r="P485" i="34"/>
  <c r="A485" i="34"/>
  <c r="P478" i="34"/>
  <c r="A478" i="34"/>
  <c r="P473" i="34"/>
  <c r="A473" i="34"/>
  <c r="P460" i="34"/>
  <c r="A460" i="34"/>
  <c r="P456" i="34"/>
  <c r="A456" i="34"/>
  <c r="P251" i="34"/>
  <c r="A251" i="34"/>
  <c r="P236" i="34"/>
  <c r="A236" i="34"/>
  <c r="P228" i="34"/>
  <c r="A228" i="34"/>
  <c r="P189" i="34"/>
  <c r="A189" i="34"/>
  <c r="P233" i="34"/>
  <c r="A233" i="34"/>
  <c r="P421" i="34"/>
  <c r="A421" i="34"/>
  <c r="P495" i="34"/>
  <c r="A495" i="34"/>
  <c r="P449" i="34"/>
  <c r="A449" i="34"/>
  <c r="P433" i="34"/>
  <c r="A433" i="34"/>
  <c r="P661" i="34"/>
  <c r="A661" i="34"/>
  <c r="P606" i="34"/>
  <c r="A606" i="34"/>
  <c r="P602" i="34"/>
  <c r="A602" i="34"/>
  <c r="P655" i="34"/>
  <c r="A655" i="34"/>
  <c r="P649" i="34"/>
  <c r="A649" i="34"/>
  <c r="P645" i="34"/>
  <c r="A645" i="34"/>
  <c r="P632" i="34"/>
  <c r="A632" i="34"/>
  <c r="P630" i="34"/>
  <c r="A630" i="34"/>
  <c r="P626" i="34"/>
  <c r="A626" i="34"/>
  <c r="P615" i="34"/>
  <c r="A615" i="34"/>
  <c r="P611" i="34"/>
  <c r="A611" i="34"/>
  <c r="P587" i="34"/>
  <c r="A587" i="34"/>
  <c r="P581" i="34"/>
  <c r="A581" i="34"/>
  <c r="P521" i="34"/>
  <c r="A521" i="34"/>
  <c r="P499" i="34"/>
  <c r="A499" i="34"/>
  <c r="P601" i="34"/>
  <c r="A601" i="34"/>
  <c r="P548" i="34"/>
  <c r="A548" i="34"/>
  <c r="P544" i="34"/>
  <c r="A544" i="34"/>
  <c r="P526" i="34"/>
  <c r="A526" i="34"/>
  <c r="P511" i="34"/>
  <c r="A511" i="34"/>
  <c r="P491" i="34"/>
  <c r="A491" i="34"/>
  <c r="P484" i="34"/>
  <c r="A484" i="34"/>
  <c r="P477" i="34"/>
  <c r="A477" i="34"/>
  <c r="P464" i="34"/>
  <c r="A464" i="34"/>
  <c r="P459" i="34"/>
  <c r="A459" i="34"/>
  <c r="P434" i="34"/>
  <c r="A434" i="34"/>
  <c r="P250" i="34"/>
  <c r="A250" i="34"/>
  <c r="P235" i="34"/>
  <c r="A235" i="34"/>
  <c r="P227" i="34"/>
  <c r="A227" i="34"/>
  <c r="P202" i="34"/>
  <c r="A202" i="34"/>
  <c r="P234" i="34"/>
  <c r="A234" i="34"/>
  <c r="P481" i="34"/>
  <c r="A481" i="34"/>
  <c r="P952" i="34"/>
  <c r="A952" i="34"/>
  <c r="P450" i="34"/>
  <c r="A450" i="34"/>
  <c r="P454" i="34"/>
  <c r="A454" i="34"/>
  <c r="P660" i="34"/>
  <c r="A660" i="34"/>
  <c r="P605" i="34"/>
  <c r="A605" i="34"/>
  <c r="P658" i="34"/>
  <c r="A658" i="34"/>
  <c r="P654" i="34"/>
  <c r="A654" i="34"/>
  <c r="P648" i="34"/>
  <c r="A648" i="34"/>
  <c r="P644" i="34"/>
  <c r="A644" i="34"/>
  <c r="P631" i="34"/>
  <c r="A631" i="34"/>
  <c r="P629" i="34"/>
  <c r="A629" i="34"/>
  <c r="P620" i="34"/>
  <c r="A620" i="34"/>
  <c r="P614" i="34"/>
  <c r="A614" i="34"/>
  <c r="P610" i="34"/>
  <c r="A610" i="34"/>
  <c r="P586" i="34"/>
  <c r="A586" i="34"/>
  <c r="P580" i="34"/>
  <c r="A580" i="34"/>
  <c r="P520" i="34"/>
  <c r="A520" i="34"/>
  <c r="P498" i="34"/>
  <c r="A498" i="34"/>
  <c r="P600" i="34"/>
  <c r="A600" i="34"/>
  <c r="P547" i="34"/>
  <c r="A547" i="34"/>
  <c r="P543" i="34"/>
  <c r="A543" i="34"/>
  <c r="P513" i="34"/>
  <c r="A513" i="34"/>
  <c r="P510" i="34"/>
  <c r="A510" i="34"/>
  <c r="P487" i="34"/>
  <c r="A487" i="34"/>
  <c r="P480" i="34"/>
  <c r="A480" i="34"/>
  <c r="P476" i="34"/>
  <c r="A476" i="34"/>
  <c r="P463" i="34"/>
  <c r="A463" i="34"/>
  <c r="P458" i="34"/>
  <c r="A458" i="34"/>
  <c r="P954" i="34"/>
  <c r="A954" i="34"/>
  <c r="P238" i="34"/>
  <c r="A238" i="34"/>
  <c r="P231" i="34"/>
  <c r="A231" i="34"/>
  <c r="P226" i="34"/>
  <c r="A226" i="34"/>
  <c r="P229" i="34"/>
  <c r="A229" i="34"/>
  <c r="P528" i="34"/>
  <c r="A528" i="34"/>
  <c r="P482" i="34"/>
  <c r="A482" i="34"/>
  <c r="P447" i="34"/>
  <c r="A447" i="34"/>
  <c r="P451" i="34"/>
  <c r="A451" i="34"/>
  <c r="P455" i="34"/>
  <c r="A455" i="34"/>
  <c r="Q661" i="34"/>
  <c r="R661" i="34"/>
  <c r="V661" i="34"/>
  <c r="AA661" i="34"/>
  <c r="X661" i="34"/>
  <c r="X606" i="34"/>
  <c r="Q606" i="34"/>
  <c r="R606" i="34"/>
  <c r="V606" i="34"/>
  <c r="AA606" i="34"/>
  <c r="R602" i="34"/>
  <c r="V602" i="34"/>
  <c r="Q602" i="34"/>
  <c r="AA602" i="34"/>
  <c r="X602" i="34"/>
  <c r="AA655" i="34"/>
  <c r="X655" i="34"/>
  <c r="Q655" i="34"/>
  <c r="R655" i="34"/>
  <c r="V655" i="34"/>
  <c r="AA649" i="34"/>
  <c r="X649" i="34"/>
  <c r="Q649" i="34"/>
  <c r="R649" i="34"/>
  <c r="V649" i="34"/>
  <c r="AA645" i="34"/>
  <c r="X645" i="34"/>
  <c r="Q645" i="34"/>
  <c r="R645" i="34"/>
  <c r="V645" i="34"/>
  <c r="R632" i="34"/>
  <c r="V632" i="34"/>
  <c r="AA632" i="34"/>
  <c r="X632" i="34"/>
  <c r="Q632" i="34"/>
  <c r="X630" i="34"/>
  <c r="Q630" i="34"/>
  <c r="R630" i="34"/>
  <c r="V630" i="34"/>
  <c r="AA630" i="34"/>
  <c r="X626" i="34"/>
  <c r="Q626" i="34"/>
  <c r="R626" i="34"/>
  <c r="V626" i="34"/>
  <c r="AA626" i="34"/>
  <c r="AA615" i="34"/>
  <c r="X615" i="34"/>
  <c r="Q615" i="34"/>
  <c r="R615" i="34"/>
  <c r="V615" i="34"/>
  <c r="AA611" i="34"/>
  <c r="X611" i="34"/>
  <c r="Q611" i="34"/>
  <c r="R611" i="34"/>
  <c r="V611" i="34"/>
  <c r="R588" i="34"/>
  <c r="V588" i="34"/>
  <c r="AA588" i="34"/>
  <c r="X588" i="34"/>
  <c r="Q588" i="34"/>
  <c r="R582" i="34"/>
  <c r="V582" i="34"/>
  <c r="AA582" i="34"/>
  <c r="X582" i="34"/>
  <c r="Q582" i="34"/>
  <c r="R522" i="34"/>
  <c r="V522" i="34"/>
  <c r="AA522" i="34"/>
  <c r="X522" i="34"/>
  <c r="Q522" i="34"/>
  <c r="Q500" i="34"/>
  <c r="R500" i="34"/>
  <c r="V500" i="34"/>
  <c r="AA500" i="34"/>
  <c r="X500" i="34"/>
  <c r="Q496" i="34"/>
  <c r="R496" i="34"/>
  <c r="V496" i="34"/>
  <c r="AA496" i="34"/>
  <c r="X496" i="34"/>
  <c r="R598" i="34"/>
  <c r="V598" i="34"/>
  <c r="Q598" i="34"/>
  <c r="AA598" i="34"/>
  <c r="X598" i="34"/>
  <c r="R545" i="34"/>
  <c r="V545" i="34"/>
  <c r="AA545" i="34"/>
  <c r="X545" i="34"/>
  <c r="Q545" i="34"/>
  <c r="Q527" i="34"/>
  <c r="R527" i="34"/>
  <c r="V527" i="34"/>
  <c r="AA527" i="34"/>
  <c r="X527" i="34"/>
  <c r="Q523" i="34"/>
  <c r="R523" i="34"/>
  <c r="V523" i="34"/>
  <c r="AA523" i="34"/>
  <c r="X523" i="34"/>
  <c r="Q492" i="34"/>
  <c r="R492" i="34"/>
  <c r="V492" i="34"/>
  <c r="AA492" i="34"/>
  <c r="X492" i="34"/>
  <c r="Q485" i="34"/>
  <c r="R485" i="34"/>
  <c r="V485" i="34"/>
  <c r="AA485" i="34"/>
  <c r="X485" i="34"/>
  <c r="X478" i="34"/>
  <c r="Q478" i="34"/>
  <c r="R478" i="34"/>
  <c r="V478" i="34"/>
  <c r="AA478" i="34"/>
  <c r="Q473" i="34"/>
  <c r="X473" i="34"/>
  <c r="R473" i="34"/>
  <c r="V473" i="34"/>
  <c r="AA473" i="34"/>
  <c r="AA460" i="34"/>
  <c r="X460" i="34"/>
  <c r="Q460" i="34"/>
  <c r="R460" i="34"/>
  <c r="V460" i="34"/>
  <c r="AA456" i="34"/>
  <c r="X456" i="34"/>
  <c r="Q456" i="34"/>
  <c r="R456" i="34"/>
  <c r="V456" i="34"/>
  <c r="X251" i="34"/>
  <c r="Q251" i="34"/>
  <c r="R251" i="34"/>
  <c r="V251" i="34"/>
  <c r="AA251" i="34"/>
  <c r="AA236" i="34"/>
  <c r="X236" i="34"/>
  <c r="Q236" i="34"/>
  <c r="R236" i="34"/>
  <c r="V236" i="34"/>
  <c r="AA228" i="34"/>
  <c r="X228" i="34"/>
  <c r="Q228" i="34"/>
  <c r="R228" i="34"/>
  <c r="V228" i="34"/>
  <c r="AA189" i="34"/>
  <c r="X189" i="34"/>
  <c r="Q189" i="34"/>
  <c r="R189" i="34"/>
  <c r="V189" i="34"/>
  <c r="R233" i="34"/>
  <c r="V233" i="34"/>
  <c r="AA233" i="34"/>
  <c r="X233" i="34"/>
  <c r="Q233" i="34"/>
  <c r="Q421" i="34"/>
  <c r="R421" i="34"/>
  <c r="V421" i="34"/>
  <c r="AA421" i="34"/>
  <c r="X421" i="34"/>
  <c r="R495" i="34"/>
  <c r="V495" i="34"/>
  <c r="AA495" i="34"/>
  <c r="X495" i="34"/>
  <c r="Q495" i="34"/>
  <c r="AA449" i="34"/>
  <c r="X449" i="34"/>
  <c r="Q449" i="34"/>
  <c r="R449" i="34"/>
  <c r="V449" i="34"/>
  <c r="Q433" i="34"/>
  <c r="R433" i="34"/>
  <c r="V433" i="34"/>
  <c r="AA433" i="34"/>
  <c r="X433" i="34"/>
  <c r="R660" i="34"/>
  <c r="V660" i="34"/>
  <c r="AA660" i="34"/>
  <c r="X660" i="34"/>
  <c r="Q660" i="34"/>
  <c r="Q605" i="34"/>
  <c r="R605" i="34"/>
  <c r="V605" i="34"/>
  <c r="AA605" i="34"/>
  <c r="X605" i="34"/>
  <c r="X658" i="34"/>
  <c r="Q658" i="34"/>
  <c r="R658" i="34"/>
  <c r="V658" i="34"/>
  <c r="AA658" i="34"/>
  <c r="X654" i="34"/>
  <c r="Q654" i="34"/>
  <c r="R654" i="34"/>
  <c r="V654" i="34"/>
  <c r="AA654" i="34"/>
  <c r="X648" i="34"/>
  <c r="Q648" i="34"/>
  <c r="R648" i="34"/>
  <c r="V648" i="34"/>
  <c r="AA648" i="34"/>
  <c r="X644" i="34"/>
  <c r="Q644" i="34"/>
  <c r="R644" i="34"/>
  <c r="V644" i="34"/>
  <c r="AA644" i="34"/>
  <c r="AA631" i="34"/>
  <c r="X631" i="34"/>
  <c r="Q631" i="34"/>
  <c r="R631" i="34"/>
  <c r="V631" i="34"/>
  <c r="Q629" i="34"/>
  <c r="R629" i="34"/>
  <c r="V629" i="34"/>
  <c r="AA629" i="34"/>
  <c r="X629" i="34"/>
  <c r="R620" i="34"/>
  <c r="V620" i="34"/>
  <c r="AA620" i="34"/>
  <c r="X620" i="34"/>
  <c r="Q620" i="34"/>
  <c r="X614" i="34"/>
  <c r="Q614" i="34"/>
  <c r="R614" i="34"/>
  <c r="V614" i="34"/>
  <c r="AA614" i="34"/>
  <c r="X610" i="34"/>
  <c r="Q610" i="34"/>
  <c r="R610" i="34"/>
  <c r="V610" i="34"/>
  <c r="AA610" i="34"/>
  <c r="AA587" i="34"/>
  <c r="X587" i="34"/>
  <c r="Q587" i="34"/>
  <c r="R587" i="34"/>
  <c r="V587" i="34"/>
  <c r="AA581" i="34"/>
  <c r="X581" i="34"/>
  <c r="Q581" i="34"/>
  <c r="R581" i="34"/>
  <c r="V581" i="34"/>
  <c r="AA521" i="34"/>
  <c r="X521" i="34"/>
  <c r="Q521" i="34"/>
  <c r="R521" i="34"/>
  <c r="V521" i="34"/>
  <c r="R499" i="34"/>
  <c r="V499" i="34"/>
  <c r="AA499" i="34"/>
  <c r="X499" i="34"/>
  <c r="Q499" i="34"/>
  <c r="AA601" i="34"/>
  <c r="R601" i="34"/>
  <c r="V601" i="34"/>
  <c r="Q601" i="34"/>
  <c r="X601" i="34"/>
  <c r="AA548" i="34"/>
  <c r="X548" i="34"/>
  <c r="Q548" i="34"/>
  <c r="R548" i="34"/>
  <c r="V548" i="34"/>
  <c r="AA544" i="34"/>
  <c r="X544" i="34"/>
  <c r="Q544" i="34"/>
  <c r="R544" i="34"/>
  <c r="V544" i="34"/>
  <c r="R526" i="34"/>
  <c r="V526" i="34"/>
  <c r="AA526" i="34"/>
  <c r="X526" i="34"/>
  <c r="Q526" i="34"/>
  <c r="R511" i="34"/>
  <c r="V511" i="34"/>
  <c r="AA511" i="34"/>
  <c r="X511" i="34"/>
  <c r="Q511" i="34"/>
  <c r="R491" i="34"/>
  <c r="V491" i="34"/>
  <c r="AA491" i="34"/>
  <c r="X491" i="34"/>
  <c r="Q491" i="34"/>
  <c r="R484" i="34"/>
  <c r="V484" i="34"/>
  <c r="AA484" i="34"/>
  <c r="X484" i="34"/>
  <c r="Q484" i="34"/>
  <c r="Q477" i="34"/>
  <c r="R477" i="34"/>
  <c r="V477" i="34"/>
  <c r="AA477" i="34"/>
  <c r="X477" i="34"/>
  <c r="AA464" i="34"/>
  <c r="R464" i="34"/>
  <c r="V464" i="34"/>
  <c r="Q464" i="34"/>
  <c r="X464" i="34"/>
  <c r="X459" i="34"/>
  <c r="Q459" i="34"/>
  <c r="R459" i="34"/>
  <c r="V459" i="34"/>
  <c r="AA459" i="34"/>
  <c r="X434" i="34"/>
  <c r="Q434" i="34"/>
  <c r="R434" i="34"/>
  <c r="V434" i="34"/>
  <c r="AA434" i="34"/>
  <c r="Q250" i="34"/>
  <c r="R250" i="34"/>
  <c r="V250" i="34"/>
  <c r="AA250" i="34"/>
  <c r="X250" i="34"/>
  <c r="X235" i="34"/>
  <c r="Q235" i="34"/>
  <c r="R235" i="34"/>
  <c r="V235" i="34"/>
  <c r="AA235" i="34"/>
  <c r="X227" i="34"/>
  <c r="Q227" i="34"/>
  <c r="R227" i="34"/>
  <c r="V227" i="34"/>
  <c r="AA227" i="34"/>
  <c r="Q202" i="34"/>
  <c r="R202" i="34"/>
  <c r="V202" i="34"/>
  <c r="AA202" i="34"/>
  <c r="X202" i="34"/>
  <c r="Q234" i="34"/>
  <c r="R234" i="34"/>
  <c r="V234" i="34"/>
  <c r="AA234" i="34"/>
  <c r="X234" i="34"/>
  <c r="Q481" i="34"/>
  <c r="R481" i="34"/>
  <c r="V481" i="34"/>
  <c r="AA481" i="34"/>
  <c r="X481" i="34"/>
  <c r="Q952" i="34"/>
  <c r="R952" i="34"/>
  <c r="V952" i="34"/>
  <c r="AA952" i="34"/>
  <c r="X952" i="34"/>
  <c r="R450" i="34"/>
  <c r="V450" i="34"/>
  <c r="AA450" i="34"/>
  <c r="X450" i="34"/>
  <c r="Q450" i="34"/>
  <c r="R454" i="34"/>
  <c r="V454" i="34"/>
  <c r="AA454" i="34"/>
  <c r="X454" i="34"/>
  <c r="Q454" i="34"/>
  <c r="AA659" i="34"/>
  <c r="X659" i="34"/>
  <c r="Q659" i="34"/>
  <c r="R659" i="34"/>
  <c r="V659" i="34"/>
  <c r="R604" i="34"/>
  <c r="V604" i="34"/>
  <c r="AA604" i="34"/>
  <c r="X604" i="34"/>
  <c r="Q604" i="34"/>
  <c r="Q657" i="34"/>
  <c r="R657" i="34"/>
  <c r="V657" i="34"/>
  <c r="AA657" i="34"/>
  <c r="X657" i="34"/>
  <c r="Q653" i="34"/>
  <c r="R653" i="34"/>
  <c r="V653" i="34"/>
  <c r="AA653" i="34"/>
  <c r="X653" i="34"/>
  <c r="Q647" i="34"/>
  <c r="R647" i="34"/>
  <c r="V647" i="34"/>
  <c r="AA647" i="34"/>
  <c r="X647" i="34"/>
  <c r="Q643" i="34"/>
  <c r="R643" i="34"/>
  <c r="V643" i="34"/>
  <c r="AA643" i="34"/>
  <c r="X643" i="34"/>
  <c r="Q617" i="34"/>
  <c r="R617" i="34"/>
  <c r="V617" i="34"/>
  <c r="AA617" i="34"/>
  <c r="X617" i="34"/>
  <c r="R628" i="34"/>
  <c r="V628" i="34"/>
  <c r="AA628" i="34"/>
  <c r="X628" i="34"/>
  <c r="Q628" i="34"/>
  <c r="AA619" i="34"/>
  <c r="X619" i="34"/>
  <c r="Q619" i="34"/>
  <c r="R619" i="34"/>
  <c r="V619" i="34"/>
  <c r="Q613" i="34"/>
  <c r="R613" i="34"/>
  <c r="V613" i="34"/>
  <c r="AA613" i="34"/>
  <c r="X613" i="34"/>
  <c r="Q609" i="34"/>
  <c r="R609" i="34"/>
  <c r="V609" i="34"/>
  <c r="AA609" i="34"/>
  <c r="X609" i="34"/>
  <c r="X586" i="34"/>
  <c r="Q586" i="34"/>
  <c r="R586" i="34"/>
  <c r="V586" i="34"/>
  <c r="AA586" i="34"/>
  <c r="X580" i="34"/>
  <c r="Q580" i="34"/>
  <c r="R580" i="34"/>
  <c r="V580" i="34"/>
  <c r="AA580" i="34"/>
  <c r="X520" i="34"/>
  <c r="Q520" i="34"/>
  <c r="R520" i="34"/>
  <c r="V520" i="34"/>
  <c r="AA520" i="34"/>
  <c r="AA498" i="34"/>
  <c r="X498" i="34"/>
  <c r="Q498" i="34"/>
  <c r="R498" i="34"/>
  <c r="V498" i="34"/>
  <c r="X600" i="34"/>
  <c r="AA600" i="34"/>
  <c r="Q600" i="34"/>
  <c r="R600" i="34"/>
  <c r="V600" i="34"/>
  <c r="X547" i="34"/>
  <c r="Q547" i="34"/>
  <c r="R547" i="34"/>
  <c r="V547" i="34"/>
  <c r="AA547" i="34"/>
  <c r="X543" i="34"/>
  <c r="Q543" i="34"/>
  <c r="R543" i="34"/>
  <c r="V543" i="34"/>
  <c r="AA543" i="34"/>
  <c r="X513" i="34"/>
  <c r="Q513" i="34"/>
  <c r="R513" i="34"/>
  <c r="V513" i="34"/>
  <c r="AA513" i="34"/>
  <c r="AA510" i="34"/>
  <c r="X510" i="34"/>
  <c r="Q510" i="34"/>
  <c r="R510" i="34"/>
  <c r="V510" i="34"/>
  <c r="AA487" i="34"/>
  <c r="X487" i="34"/>
  <c r="Q487" i="34"/>
  <c r="R487" i="34"/>
  <c r="V487" i="34"/>
  <c r="R480" i="34"/>
  <c r="V480" i="34"/>
  <c r="AA480" i="34"/>
  <c r="X480" i="34"/>
  <c r="Q480" i="34"/>
  <c r="R476" i="34"/>
  <c r="V476" i="34"/>
  <c r="AA476" i="34"/>
  <c r="X476" i="34"/>
  <c r="Q476" i="34"/>
  <c r="X463" i="34"/>
  <c r="AA463" i="34"/>
  <c r="Q463" i="34"/>
  <c r="R463" i="34"/>
  <c r="V463" i="34"/>
  <c r="Q458" i="34"/>
  <c r="R458" i="34"/>
  <c r="V458" i="34"/>
  <c r="AA458" i="34"/>
  <c r="X458" i="34"/>
  <c r="AA954" i="34"/>
  <c r="X954" i="34"/>
  <c r="Q954" i="34"/>
  <c r="R954" i="34"/>
  <c r="V954" i="34"/>
  <c r="Q238" i="34"/>
  <c r="R238" i="34"/>
  <c r="V238" i="34"/>
  <c r="AA238" i="34"/>
  <c r="X238" i="34"/>
  <c r="X231" i="34"/>
  <c r="Q231" i="34"/>
  <c r="R231" i="34"/>
  <c r="V231" i="34"/>
  <c r="AA231" i="34"/>
  <c r="Q226" i="34"/>
  <c r="R226" i="34"/>
  <c r="V226" i="34"/>
  <c r="AA226" i="34"/>
  <c r="X226" i="34"/>
  <c r="R229" i="34"/>
  <c r="V229" i="34"/>
  <c r="AA229" i="34"/>
  <c r="X229" i="34"/>
  <c r="Q229" i="34"/>
  <c r="X528" i="34"/>
  <c r="Q528" i="34"/>
  <c r="R528" i="34"/>
  <c r="V528" i="34"/>
  <c r="AA528" i="34"/>
  <c r="X482" i="34"/>
  <c r="Q482" i="34"/>
  <c r="R482" i="34"/>
  <c r="V482" i="34"/>
  <c r="AA482" i="34"/>
  <c r="Q447" i="34"/>
  <c r="R447" i="34"/>
  <c r="V447" i="34"/>
  <c r="AA447" i="34"/>
  <c r="X447" i="34"/>
  <c r="Q451" i="34"/>
  <c r="R451" i="34"/>
  <c r="V451" i="34"/>
  <c r="AA451" i="34"/>
  <c r="X451" i="34"/>
  <c r="AA607" i="34"/>
  <c r="X607" i="34"/>
  <c r="Q607" i="34"/>
  <c r="R607" i="34"/>
  <c r="V607" i="34"/>
  <c r="Q603" i="34"/>
  <c r="R603" i="34"/>
  <c r="V603" i="34"/>
  <c r="AA603" i="34"/>
  <c r="X603" i="34"/>
  <c r="R656" i="34"/>
  <c r="V656" i="34"/>
  <c r="AA656" i="34"/>
  <c r="X656" i="34"/>
  <c r="Q656" i="34"/>
  <c r="R650" i="34"/>
  <c r="V650" i="34"/>
  <c r="AA650" i="34"/>
  <c r="X650" i="34"/>
  <c r="Q650" i="34"/>
  <c r="R646" i="34"/>
  <c r="V646" i="34"/>
  <c r="AA646" i="34"/>
  <c r="X646" i="34"/>
  <c r="Q646" i="34"/>
  <c r="Q633" i="34"/>
  <c r="R633" i="34"/>
  <c r="V633" i="34"/>
  <c r="AA633" i="34"/>
  <c r="X633" i="34"/>
  <c r="R616" i="34"/>
  <c r="V616" i="34"/>
  <c r="AA616" i="34"/>
  <c r="X616" i="34"/>
  <c r="Q616" i="34"/>
  <c r="AA627" i="34"/>
  <c r="X627" i="34"/>
  <c r="Q627" i="34"/>
  <c r="R627" i="34"/>
  <c r="V627" i="34"/>
  <c r="X618" i="34"/>
  <c r="Q618" i="34"/>
  <c r="R618" i="34"/>
  <c r="V618" i="34"/>
  <c r="AA618" i="34"/>
  <c r="R612" i="34"/>
  <c r="V612" i="34"/>
  <c r="AA612" i="34"/>
  <c r="X612" i="34"/>
  <c r="Q612" i="34"/>
  <c r="Q583" i="34"/>
  <c r="R583" i="34"/>
  <c r="V583" i="34"/>
  <c r="AA583" i="34"/>
  <c r="X583" i="34"/>
  <c r="Q579" i="34"/>
  <c r="R579" i="34"/>
  <c r="V579" i="34"/>
  <c r="AA579" i="34"/>
  <c r="X579" i="34"/>
  <c r="Q519" i="34"/>
  <c r="R519" i="34"/>
  <c r="V519" i="34"/>
  <c r="AA519" i="34"/>
  <c r="X519" i="34"/>
  <c r="X497" i="34"/>
  <c r="Q497" i="34"/>
  <c r="R497" i="34"/>
  <c r="V497" i="34"/>
  <c r="AA497" i="34"/>
  <c r="Q599" i="34"/>
  <c r="X599" i="34"/>
  <c r="R599" i="34"/>
  <c r="V599" i="34"/>
  <c r="AA599" i="34"/>
  <c r="Q546" i="34"/>
  <c r="R546" i="34"/>
  <c r="V546" i="34"/>
  <c r="AA546" i="34"/>
  <c r="X546" i="34"/>
  <c r="Q542" i="34"/>
  <c r="R542" i="34"/>
  <c r="V542" i="34"/>
  <c r="AA542" i="34"/>
  <c r="X542" i="34"/>
  <c r="X524" i="34"/>
  <c r="Q524" i="34"/>
  <c r="R524" i="34"/>
  <c r="V524" i="34"/>
  <c r="AA524" i="34"/>
  <c r="X493" i="34"/>
  <c r="Q493" i="34"/>
  <c r="R493" i="34"/>
  <c r="V493" i="34"/>
  <c r="AA493" i="34"/>
  <c r="X486" i="34"/>
  <c r="Q486" i="34"/>
  <c r="R486" i="34"/>
  <c r="V486" i="34"/>
  <c r="AA486" i="34"/>
  <c r="AA479" i="34"/>
  <c r="X479" i="34"/>
  <c r="Q479" i="34"/>
  <c r="R479" i="34"/>
  <c r="V479" i="34"/>
  <c r="X474" i="34"/>
  <c r="AA474" i="34"/>
  <c r="Q474" i="34"/>
  <c r="R474" i="34"/>
  <c r="V474" i="34"/>
  <c r="Q462" i="34"/>
  <c r="R462" i="34"/>
  <c r="AA462" i="34"/>
  <c r="X462" i="34"/>
  <c r="V462" i="34"/>
  <c r="R457" i="34"/>
  <c r="V457" i="34"/>
  <c r="AA457" i="34"/>
  <c r="X457" i="34"/>
  <c r="Q457" i="34"/>
  <c r="X953" i="34"/>
  <c r="Q953" i="34"/>
  <c r="R953" i="34"/>
  <c r="V953" i="34"/>
  <c r="AA953" i="34"/>
  <c r="R237" i="34"/>
  <c r="V237" i="34"/>
  <c r="AA237" i="34"/>
  <c r="X237" i="34"/>
  <c r="Q237" i="34"/>
  <c r="Q230" i="34"/>
  <c r="R230" i="34"/>
  <c r="V230" i="34"/>
  <c r="AA230" i="34"/>
  <c r="X230" i="34"/>
  <c r="X203" i="34"/>
  <c r="Q203" i="34"/>
  <c r="R203" i="34"/>
  <c r="V203" i="34"/>
  <c r="AA203" i="34"/>
  <c r="AA232" i="34"/>
  <c r="X232" i="34"/>
  <c r="Q232" i="34"/>
  <c r="R232" i="34"/>
  <c r="V232" i="34"/>
  <c r="AA529" i="34"/>
  <c r="X529" i="34"/>
  <c r="Q529" i="34"/>
  <c r="R529" i="34"/>
  <c r="V529" i="34"/>
  <c r="AA494" i="34"/>
  <c r="X494" i="34"/>
  <c r="Q494" i="34"/>
  <c r="R494" i="34"/>
  <c r="V494" i="34"/>
  <c r="X448" i="34"/>
  <c r="Q448" i="34"/>
  <c r="R448" i="34"/>
  <c r="V448" i="34"/>
  <c r="AA448" i="34"/>
  <c r="X452" i="34"/>
  <c r="Q452" i="34"/>
  <c r="R452" i="34"/>
  <c r="V452" i="34"/>
  <c r="AA452" i="34"/>
  <c r="X455" i="34"/>
  <c r="Q455" i="34"/>
  <c r="R455" i="34"/>
  <c r="V455" i="34"/>
  <c r="AA45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30" i="70"/>
  <c r="D31" i="70" s="1"/>
  <c r="C30" i="70"/>
  <c r="B161" i="34" l="1"/>
  <c r="B162" i="34"/>
  <c r="B163" i="34"/>
  <c r="B164" i="34"/>
  <c r="B165" i="34"/>
  <c r="B166" i="34"/>
  <c r="B153" i="34"/>
  <c r="B154" i="34"/>
  <c r="B186" i="34"/>
  <c r="B187" i="34"/>
  <c r="B188" i="34"/>
  <c r="Q154" i="34" l="1"/>
  <c r="X154" i="34"/>
  <c r="P154" i="34"/>
  <c r="AA154" i="34"/>
  <c r="V154" i="34"/>
  <c r="R154" i="34"/>
  <c r="AA153" i="34"/>
  <c r="V153" i="34"/>
  <c r="X153" i="34"/>
  <c r="P153" i="34"/>
  <c r="R153" i="34"/>
  <c r="Q153" i="34"/>
  <c r="A154" i="34"/>
  <c r="P164" i="34"/>
  <c r="A164" i="34"/>
  <c r="P188" i="34"/>
  <c r="A188" i="34"/>
  <c r="A153" i="34"/>
  <c r="P163" i="34"/>
  <c r="A163" i="34"/>
  <c r="P187" i="34"/>
  <c r="A187" i="34"/>
  <c r="P166" i="34"/>
  <c r="A166" i="34"/>
  <c r="P162" i="34"/>
  <c r="A162" i="34"/>
  <c r="P186" i="34"/>
  <c r="A186" i="34"/>
  <c r="P165" i="34"/>
  <c r="A165" i="34"/>
  <c r="P161" i="34"/>
  <c r="A161" i="34"/>
  <c r="R164" i="34"/>
  <c r="V164" i="34"/>
  <c r="AA164" i="34"/>
  <c r="X164" i="34"/>
  <c r="Q164" i="34"/>
  <c r="X188" i="34"/>
  <c r="Q188" i="34"/>
  <c r="R188" i="34"/>
  <c r="V188" i="34"/>
  <c r="AA188" i="34"/>
  <c r="AA163" i="34"/>
  <c r="X163" i="34"/>
  <c r="Q163" i="34"/>
  <c r="R163" i="34"/>
  <c r="V163" i="34"/>
  <c r="Q187" i="34"/>
  <c r="R187" i="34"/>
  <c r="V187" i="34"/>
  <c r="AA187" i="34"/>
  <c r="X187" i="34"/>
  <c r="X166" i="34"/>
  <c r="Q166" i="34"/>
  <c r="R166" i="34"/>
  <c r="V166" i="34"/>
  <c r="AA166" i="34"/>
  <c r="X162" i="34"/>
  <c r="Q162" i="34"/>
  <c r="R162" i="34"/>
  <c r="V162" i="34"/>
  <c r="AA162" i="34"/>
  <c r="R186" i="34"/>
  <c r="V186" i="34"/>
  <c r="AA186" i="34"/>
  <c r="X186" i="34"/>
  <c r="Q186" i="34"/>
  <c r="Q165" i="34"/>
  <c r="R165" i="34"/>
  <c r="V165" i="34"/>
  <c r="AA165" i="34"/>
  <c r="X165" i="34"/>
  <c r="Q161" i="34"/>
  <c r="R161" i="34"/>
  <c r="V161" i="34"/>
  <c r="AA161" i="34"/>
  <c r="X161" i="34"/>
  <c r="B120" i="34"/>
  <c r="B121" i="34"/>
  <c r="B122" i="34"/>
  <c r="B123" i="34"/>
  <c r="B157" i="34"/>
  <c r="B158" i="34"/>
  <c r="B159" i="34"/>
  <c r="B160" i="34"/>
  <c r="B108" i="34"/>
  <c r="B109" i="34"/>
  <c r="B110" i="34"/>
  <c r="B111" i="34"/>
  <c r="B112" i="34"/>
  <c r="B114" i="34"/>
  <c r="B115" i="34"/>
  <c r="B118" i="34"/>
  <c r="B119" i="34"/>
  <c r="B107" i="34"/>
  <c r="B61" i="34"/>
  <c r="B106" i="34"/>
  <c r="B128" i="34"/>
  <c r="B127" i="34"/>
  <c r="B257" i="34"/>
  <c r="A257" i="34" s="1"/>
  <c r="B256" i="34"/>
  <c r="B255" i="34"/>
  <c r="B254" i="34"/>
  <c r="B249" i="34"/>
  <c r="B215" i="34"/>
  <c r="B200" i="34"/>
  <c r="B199" i="34"/>
  <c r="B179" i="34"/>
  <c r="B68" i="34"/>
  <c r="A68" i="34" s="1"/>
  <c r="B32" i="34"/>
  <c r="A32" i="34" s="1"/>
  <c r="B33" i="34"/>
  <c r="A33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213" i="34"/>
  <c r="B214" i="34"/>
  <c r="B100" i="34"/>
  <c r="B101" i="34"/>
  <c r="B167" i="34"/>
  <c r="B177" i="34"/>
  <c r="B178" i="34"/>
  <c r="B97" i="34"/>
  <c r="B92" i="34"/>
  <c r="B93" i="34"/>
  <c r="B87" i="34"/>
  <c r="B88" i="34"/>
  <c r="B80" i="34"/>
  <c r="B81" i="34"/>
  <c r="B82" i="34"/>
  <c r="B83" i="34"/>
  <c r="B78" i="34"/>
  <c r="B79" i="34"/>
  <c r="B43" i="34"/>
  <c r="B44" i="34"/>
  <c r="B45" i="34"/>
  <c r="B36" i="34"/>
  <c r="B37" i="34"/>
  <c r="B40" i="34"/>
  <c r="A40" i="34" s="1"/>
  <c r="B41" i="34"/>
  <c r="A41" i="34" s="1"/>
  <c r="B34" i="34"/>
  <c r="A34" i="34" s="1"/>
  <c r="B35" i="34"/>
  <c r="A35" i="34" s="1"/>
  <c r="B46" i="34"/>
  <c r="A46" i="34" s="1"/>
  <c r="B47" i="34"/>
  <c r="A47" i="34" s="1"/>
  <c r="B22" i="34"/>
  <c r="A22" i="34" s="1"/>
  <c r="B23" i="34"/>
  <c r="A23" i="34" s="1"/>
  <c r="B98" i="34"/>
  <c r="B99" i="34"/>
  <c r="B103" i="34"/>
  <c r="B104" i="34"/>
  <c r="B94" i="34"/>
  <c r="B95" i="34"/>
  <c r="B96" i="34"/>
  <c r="AA92" i="34" l="1"/>
  <c r="V92" i="34"/>
  <c r="Q92" i="34"/>
  <c r="P92" i="34"/>
  <c r="X92" i="34"/>
  <c r="R92" i="34"/>
  <c r="AA128" i="34"/>
  <c r="V128" i="34"/>
  <c r="R128" i="34"/>
  <c r="Q128" i="34"/>
  <c r="P128" i="34"/>
  <c r="X128" i="34"/>
  <c r="AA119" i="34"/>
  <c r="V119" i="34"/>
  <c r="R119" i="34"/>
  <c r="Q119" i="34"/>
  <c r="P119" i="34"/>
  <c r="X119" i="34"/>
  <c r="X118" i="34"/>
  <c r="AA118" i="34"/>
  <c r="V118" i="34"/>
  <c r="R118" i="34"/>
  <c r="Q118" i="34"/>
  <c r="P118" i="34"/>
  <c r="P111" i="34"/>
  <c r="X111" i="34"/>
  <c r="AA111" i="34"/>
  <c r="V111" i="34"/>
  <c r="R111" i="34"/>
  <c r="Q111" i="34"/>
  <c r="Q123" i="34"/>
  <c r="P123" i="34"/>
  <c r="X123" i="34"/>
  <c r="AA123" i="34"/>
  <c r="V123" i="34"/>
  <c r="R123" i="34"/>
  <c r="Q110" i="34"/>
  <c r="P110" i="34"/>
  <c r="X110" i="34"/>
  <c r="AA110" i="34"/>
  <c r="V110" i="34"/>
  <c r="R110" i="34"/>
  <c r="P45" i="34"/>
  <c r="A45" i="34"/>
  <c r="P78" i="34"/>
  <c r="A78" i="34"/>
  <c r="P80" i="34"/>
  <c r="A80" i="34"/>
  <c r="A92" i="34"/>
  <c r="P167" i="34"/>
  <c r="A167" i="34"/>
  <c r="P214" i="34"/>
  <c r="A214" i="34"/>
  <c r="P179" i="34"/>
  <c r="A179" i="34"/>
  <c r="P249" i="34"/>
  <c r="A249" i="34"/>
  <c r="P61" i="34"/>
  <c r="A61" i="34"/>
  <c r="P115" i="34"/>
  <c r="A115" i="34"/>
  <c r="A110" i="34"/>
  <c r="P159" i="34"/>
  <c r="A159" i="34"/>
  <c r="P122" i="34"/>
  <c r="A122" i="34"/>
  <c r="P95" i="34"/>
  <c r="A95" i="34"/>
  <c r="P99" i="34"/>
  <c r="A99" i="34"/>
  <c r="P94" i="34"/>
  <c r="A94" i="34"/>
  <c r="P98" i="34"/>
  <c r="A98" i="34"/>
  <c r="P44" i="34"/>
  <c r="A44" i="34"/>
  <c r="P83" i="34"/>
  <c r="A83" i="34"/>
  <c r="P88" i="34"/>
  <c r="A88" i="34"/>
  <c r="P97" i="34"/>
  <c r="A97" i="34"/>
  <c r="P213" i="34"/>
  <c r="A213" i="34"/>
  <c r="P199" i="34"/>
  <c r="A199" i="34"/>
  <c r="P254" i="34"/>
  <c r="A254" i="34"/>
  <c r="P127" i="34"/>
  <c r="A127" i="34"/>
  <c r="P107" i="34"/>
  <c r="A107" i="34"/>
  <c r="P114" i="34"/>
  <c r="A114" i="34"/>
  <c r="P109" i="34"/>
  <c r="A109" i="34"/>
  <c r="P158" i="34"/>
  <c r="A158" i="34"/>
  <c r="P121" i="34"/>
  <c r="A121" i="34"/>
  <c r="P37" i="34"/>
  <c r="A37" i="34"/>
  <c r="P43" i="34"/>
  <c r="A43" i="34"/>
  <c r="P82" i="34"/>
  <c r="A82" i="34"/>
  <c r="P87" i="34"/>
  <c r="A87" i="34"/>
  <c r="P178" i="34"/>
  <c r="A178" i="34"/>
  <c r="P101" i="34"/>
  <c r="A101" i="34"/>
  <c r="P200" i="34"/>
  <c r="A200" i="34"/>
  <c r="P255" i="34"/>
  <c r="A255" i="34"/>
  <c r="A128" i="34"/>
  <c r="A119" i="34"/>
  <c r="P112" i="34"/>
  <c r="A112" i="34"/>
  <c r="P108" i="34"/>
  <c r="A108" i="34"/>
  <c r="P157" i="34"/>
  <c r="A157" i="34"/>
  <c r="P120" i="34"/>
  <c r="A120" i="34"/>
  <c r="P104" i="34"/>
  <c r="A104" i="34"/>
  <c r="P96" i="34"/>
  <c r="A96" i="34"/>
  <c r="P103" i="34"/>
  <c r="A103" i="34"/>
  <c r="P36" i="34"/>
  <c r="A36" i="34"/>
  <c r="P79" i="34"/>
  <c r="A79" i="34"/>
  <c r="P81" i="34"/>
  <c r="A81" i="34"/>
  <c r="P93" i="34"/>
  <c r="A93" i="34"/>
  <c r="P177" i="34"/>
  <c r="A177" i="34"/>
  <c r="P100" i="34"/>
  <c r="A100" i="34"/>
  <c r="P215" i="34"/>
  <c r="A215" i="34"/>
  <c r="P256" i="34"/>
  <c r="A256" i="34"/>
  <c r="P106" i="34"/>
  <c r="A106" i="34"/>
  <c r="A118" i="34"/>
  <c r="A111" i="34"/>
  <c r="P160" i="34"/>
  <c r="A160" i="34"/>
  <c r="A123" i="34"/>
  <c r="P30" i="34"/>
  <c r="P46" i="34"/>
  <c r="P40" i="34"/>
  <c r="P28" i="34"/>
  <c r="P33" i="34"/>
  <c r="P34" i="34"/>
  <c r="P26" i="34"/>
  <c r="P68" i="34"/>
  <c r="P23" i="34"/>
  <c r="P35" i="34"/>
  <c r="P31" i="34"/>
  <c r="P27" i="34"/>
  <c r="P32" i="34"/>
  <c r="P22" i="34"/>
  <c r="P47" i="34"/>
  <c r="P41" i="34"/>
  <c r="P29" i="34"/>
  <c r="P25" i="34"/>
  <c r="P257" i="34"/>
  <c r="R94" i="34"/>
  <c r="V94" i="34"/>
  <c r="AA94" i="34"/>
  <c r="X94" i="34"/>
  <c r="Q94" i="34"/>
  <c r="Q98" i="34"/>
  <c r="R98" i="34"/>
  <c r="V98" i="34"/>
  <c r="AA98" i="34"/>
  <c r="X98" i="34"/>
  <c r="AA46" i="34"/>
  <c r="X46" i="34"/>
  <c r="Q46" i="34"/>
  <c r="R46" i="34"/>
  <c r="V46" i="34"/>
  <c r="Q40" i="34"/>
  <c r="R40" i="34"/>
  <c r="V40" i="34"/>
  <c r="AA40" i="34"/>
  <c r="X40" i="34"/>
  <c r="X44" i="34"/>
  <c r="Q44" i="34"/>
  <c r="R44" i="34"/>
  <c r="V44" i="34"/>
  <c r="AA44" i="34"/>
  <c r="Q83" i="34"/>
  <c r="R83" i="34"/>
  <c r="V83" i="34"/>
  <c r="AA83" i="34"/>
  <c r="X83" i="34"/>
  <c r="X88" i="34"/>
  <c r="Q88" i="34"/>
  <c r="R88" i="34"/>
  <c r="V88" i="34"/>
  <c r="AA88" i="34"/>
  <c r="Q97" i="34"/>
  <c r="R97" i="34"/>
  <c r="V97" i="34"/>
  <c r="AA97" i="34"/>
  <c r="X97" i="34"/>
  <c r="R213" i="34"/>
  <c r="V213" i="34"/>
  <c r="AA213" i="34"/>
  <c r="X213" i="34"/>
  <c r="Q213" i="34"/>
  <c r="Q28" i="34"/>
  <c r="R28" i="34"/>
  <c r="V28" i="34"/>
  <c r="AA28" i="34"/>
  <c r="X28" i="34"/>
  <c r="R33" i="34"/>
  <c r="V33" i="34"/>
  <c r="AA33" i="34"/>
  <c r="X33" i="34"/>
  <c r="Q33" i="34"/>
  <c r="Q199" i="34"/>
  <c r="R199" i="34"/>
  <c r="V199" i="34"/>
  <c r="X199" i="34"/>
  <c r="AA199" i="34"/>
  <c r="Q254" i="34"/>
  <c r="R254" i="34"/>
  <c r="V254" i="34"/>
  <c r="AA254" i="34"/>
  <c r="X254" i="34"/>
  <c r="Q127" i="34"/>
  <c r="R127" i="34"/>
  <c r="V127" i="34"/>
  <c r="AA127" i="34"/>
  <c r="X127" i="34"/>
  <c r="X107" i="34"/>
  <c r="Q107" i="34"/>
  <c r="R107" i="34"/>
  <c r="V107" i="34"/>
  <c r="AA107" i="34"/>
  <c r="Q114" i="34"/>
  <c r="R114" i="34"/>
  <c r="V114" i="34"/>
  <c r="AA114" i="34"/>
  <c r="X114" i="34"/>
  <c r="R109" i="34"/>
  <c r="V109" i="34"/>
  <c r="AA109" i="34"/>
  <c r="X109" i="34"/>
  <c r="Q109" i="34"/>
  <c r="X158" i="34"/>
  <c r="Q158" i="34"/>
  <c r="R158" i="34"/>
  <c r="V158" i="34"/>
  <c r="AA158" i="34"/>
  <c r="AA121" i="34"/>
  <c r="X121" i="34"/>
  <c r="Q121" i="34"/>
  <c r="R121" i="34"/>
  <c r="V121" i="34"/>
  <c r="AA104" i="34"/>
  <c r="X104" i="34"/>
  <c r="Q104" i="34"/>
  <c r="R104" i="34"/>
  <c r="V104" i="34"/>
  <c r="R23" i="34"/>
  <c r="V23" i="34"/>
  <c r="AA23" i="34"/>
  <c r="X23" i="34"/>
  <c r="Q23" i="34"/>
  <c r="X35" i="34"/>
  <c r="Q35" i="34"/>
  <c r="R35" i="34"/>
  <c r="V35" i="34"/>
  <c r="AA35" i="34"/>
  <c r="Q37" i="34"/>
  <c r="R37" i="34"/>
  <c r="V37" i="34"/>
  <c r="AA37" i="34"/>
  <c r="X37" i="34"/>
  <c r="Q43" i="34"/>
  <c r="R43" i="34"/>
  <c r="V43" i="34"/>
  <c r="AA43" i="34"/>
  <c r="X43" i="34"/>
  <c r="R82" i="34"/>
  <c r="V82" i="34"/>
  <c r="AA82" i="34"/>
  <c r="X82" i="34"/>
  <c r="Q82" i="34"/>
  <c r="Q87" i="34"/>
  <c r="R87" i="34"/>
  <c r="V87" i="34"/>
  <c r="AA87" i="34"/>
  <c r="X87" i="34"/>
  <c r="AA178" i="34"/>
  <c r="X178" i="34"/>
  <c r="Q178" i="34"/>
  <c r="R178" i="34"/>
  <c r="V178" i="34"/>
  <c r="R101" i="34"/>
  <c r="V101" i="34"/>
  <c r="AA101" i="34"/>
  <c r="X101" i="34"/>
  <c r="Q101" i="34"/>
  <c r="R31" i="34"/>
  <c r="V31" i="34"/>
  <c r="AA31" i="34"/>
  <c r="X31" i="34"/>
  <c r="Q31" i="34"/>
  <c r="R27" i="34"/>
  <c r="V27" i="34"/>
  <c r="AA27" i="34"/>
  <c r="X27" i="34"/>
  <c r="Q27" i="34"/>
  <c r="AA32" i="34"/>
  <c r="X32" i="34"/>
  <c r="Q32" i="34"/>
  <c r="R32" i="34"/>
  <c r="V32" i="34"/>
  <c r="X200" i="34"/>
  <c r="Q200" i="34"/>
  <c r="AA200" i="34"/>
  <c r="R200" i="34"/>
  <c r="V200" i="34"/>
  <c r="X255" i="34"/>
  <c r="Q255" i="34"/>
  <c r="AA255" i="34"/>
  <c r="R255" i="34"/>
  <c r="V255" i="34"/>
  <c r="AA112" i="34"/>
  <c r="X112" i="34"/>
  <c r="Q112" i="34"/>
  <c r="R112" i="34"/>
  <c r="V112" i="34"/>
  <c r="AA108" i="34"/>
  <c r="X108" i="34"/>
  <c r="Q108" i="34"/>
  <c r="R108" i="34"/>
  <c r="V108" i="34"/>
  <c r="Q157" i="34"/>
  <c r="R157" i="34"/>
  <c r="V157" i="34"/>
  <c r="AA157" i="34"/>
  <c r="X157" i="34"/>
  <c r="X96" i="34"/>
  <c r="Q96" i="34"/>
  <c r="R96" i="34"/>
  <c r="V96" i="34"/>
  <c r="AA96" i="34"/>
  <c r="X103" i="34"/>
  <c r="Q103" i="34"/>
  <c r="R103" i="34"/>
  <c r="V103" i="34"/>
  <c r="AA103" i="34"/>
  <c r="AA22" i="34"/>
  <c r="X22" i="34"/>
  <c r="Q22" i="34"/>
  <c r="R22" i="34"/>
  <c r="V22" i="34"/>
  <c r="Q34" i="34"/>
  <c r="R34" i="34"/>
  <c r="V34" i="34"/>
  <c r="AA34" i="34"/>
  <c r="X34" i="34"/>
  <c r="R36" i="34"/>
  <c r="V36" i="34"/>
  <c r="AA36" i="34"/>
  <c r="X36" i="34"/>
  <c r="Q36" i="34"/>
  <c r="Q79" i="34"/>
  <c r="R79" i="34"/>
  <c r="V79" i="34"/>
  <c r="AA79" i="34"/>
  <c r="X79" i="34"/>
  <c r="AA81" i="34"/>
  <c r="X81" i="34"/>
  <c r="Q81" i="34"/>
  <c r="R81" i="34"/>
  <c r="V81" i="34"/>
  <c r="X93" i="34"/>
  <c r="Q93" i="34"/>
  <c r="R93" i="34"/>
  <c r="V93" i="34"/>
  <c r="AA93" i="34"/>
  <c r="X177" i="34"/>
  <c r="Q177" i="34"/>
  <c r="R177" i="34"/>
  <c r="V177" i="34"/>
  <c r="AA177" i="34"/>
  <c r="AA100" i="34"/>
  <c r="X100" i="34"/>
  <c r="Q100" i="34"/>
  <c r="R100" i="34"/>
  <c r="V100" i="34"/>
  <c r="AA30" i="34"/>
  <c r="X30" i="34"/>
  <c r="Q30" i="34"/>
  <c r="R30" i="34"/>
  <c r="V30" i="34"/>
  <c r="AA26" i="34"/>
  <c r="X26" i="34"/>
  <c r="Q26" i="34"/>
  <c r="R26" i="34"/>
  <c r="V26" i="34"/>
  <c r="Q68" i="34"/>
  <c r="R68" i="34"/>
  <c r="V68" i="34"/>
  <c r="AA68" i="34"/>
  <c r="X68" i="34"/>
  <c r="X215" i="34"/>
  <c r="Q215" i="34"/>
  <c r="R215" i="34"/>
  <c r="V215" i="34"/>
  <c r="AA215" i="34"/>
  <c r="AA256" i="34"/>
  <c r="X256" i="34"/>
  <c r="R256" i="34"/>
  <c r="V256" i="34"/>
  <c r="Q256" i="34"/>
  <c r="Q106" i="34"/>
  <c r="R106" i="34"/>
  <c r="V106" i="34"/>
  <c r="AA106" i="34"/>
  <c r="X106" i="34"/>
  <c r="R160" i="34"/>
  <c r="V160" i="34"/>
  <c r="AA160" i="34"/>
  <c r="X160" i="34"/>
  <c r="Q160" i="34"/>
  <c r="Q120" i="34"/>
  <c r="R120" i="34"/>
  <c r="V120" i="34"/>
  <c r="AA120" i="34"/>
  <c r="X120" i="34"/>
  <c r="Q95" i="34"/>
  <c r="R95" i="34"/>
  <c r="V95" i="34"/>
  <c r="AA95" i="34"/>
  <c r="X95" i="34"/>
  <c r="X99" i="34"/>
  <c r="Q99" i="34"/>
  <c r="R99" i="34"/>
  <c r="V99" i="34"/>
  <c r="AA99" i="34"/>
  <c r="R47" i="34"/>
  <c r="V47" i="34"/>
  <c r="AA47" i="34"/>
  <c r="X47" i="34"/>
  <c r="Q47" i="34"/>
  <c r="X41" i="34"/>
  <c r="Q41" i="34"/>
  <c r="R41" i="34"/>
  <c r="V41" i="34"/>
  <c r="AA41" i="34"/>
  <c r="AA45" i="34"/>
  <c r="X45" i="34"/>
  <c r="Q45" i="34"/>
  <c r="R45" i="34"/>
  <c r="V45" i="34"/>
  <c r="R78" i="34"/>
  <c r="V78" i="34"/>
  <c r="AA78" i="34"/>
  <c r="X78" i="34"/>
  <c r="Q78" i="34"/>
  <c r="X80" i="34"/>
  <c r="Q80" i="34"/>
  <c r="R80" i="34"/>
  <c r="V80" i="34"/>
  <c r="AA80" i="34"/>
  <c r="R167" i="34"/>
  <c r="V167" i="34"/>
  <c r="AA167" i="34"/>
  <c r="X167" i="34"/>
  <c r="Q167" i="34"/>
  <c r="Q214" i="34"/>
  <c r="R214" i="34"/>
  <c r="V214" i="34"/>
  <c r="AA214" i="34"/>
  <c r="X214" i="34"/>
  <c r="X29" i="34"/>
  <c r="Q29" i="34"/>
  <c r="R29" i="34"/>
  <c r="V29" i="34"/>
  <c r="AA29" i="34"/>
  <c r="X25" i="34"/>
  <c r="Q25" i="34"/>
  <c r="R25" i="34"/>
  <c r="V25" i="34"/>
  <c r="AA25" i="34"/>
  <c r="R179" i="34"/>
  <c r="V179" i="34"/>
  <c r="AA179" i="34"/>
  <c r="X179" i="34"/>
  <c r="Q179" i="34"/>
  <c r="R249" i="34"/>
  <c r="V249" i="34"/>
  <c r="AA249" i="34"/>
  <c r="X249" i="34"/>
  <c r="Q249" i="34"/>
  <c r="R257" i="34"/>
  <c r="V257" i="34"/>
  <c r="Q257" i="34"/>
  <c r="AA257" i="34"/>
  <c r="X257" i="34"/>
  <c r="X61" i="34"/>
  <c r="Q61" i="34"/>
  <c r="R61" i="34"/>
  <c r="V61" i="34"/>
  <c r="AA61" i="34"/>
  <c r="X115" i="34"/>
  <c r="Q115" i="34"/>
  <c r="R115" i="34"/>
  <c r="V115" i="34"/>
  <c r="AA115" i="34"/>
  <c r="AA159" i="34"/>
  <c r="X159" i="34"/>
  <c r="Q159" i="34"/>
  <c r="R159" i="34"/>
  <c r="V159" i="34"/>
  <c r="R122" i="34"/>
  <c r="V122" i="34"/>
  <c r="AA122" i="34"/>
  <c r="X122" i="34"/>
  <c r="Q122" i="34"/>
  <c r="B578" i="34"/>
  <c r="B541" i="34"/>
  <c r="B540" i="34"/>
  <c r="B539" i="34"/>
  <c r="B515" i="34"/>
  <c r="B514" i="34"/>
  <c r="B446" i="34"/>
  <c r="B445" i="34"/>
  <c r="B258" i="34"/>
  <c r="B253" i="34"/>
  <c r="B252" i="34"/>
  <c r="B156" i="34"/>
  <c r="B155" i="34"/>
  <c r="B140" i="34"/>
  <c r="B141" i="34"/>
  <c r="B89" i="34"/>
  <c r="AA155" i="34" l="1"/>
  <c r="V155" i="34"/>
  <c r="R155" i="34"/>
  <c r="Q155" i="34"/>
  <c r="X155" i="34"/>
  <c r="P155" i="34"/>
  <c r="A155" i="34"/>
  <c r="P253" i="34"/>
  <c r="A253" i="34"/>
  <c r="P514" i="34"/>
  <c r="A514" i="34"/>
  <c r="P541" i="34"/>
  <c r="A541" i="34"/>
  <c r="P140" i="34"/>
  <c r="A140" i="34"/>
  <c r="P446" i="34"/>
  <c r="A446" i="34"/>
  <c r="P89" i="34"/>
  <c r="A89" i="34"/>
  <c r="P252" i="34"/>
  <c r="A252" i="34"/>
  <c r="P540" i="34"/>
  <c r="A540" i="34"/>
  <c r="P156" i="34"/>
  <c r="A156" i="34"/>
  <c r="P258" i="34"/>
  <c r="A258" i="34"/>
  <c r="P515" i="34"/>
  <c r="A515" i="34"/>
  <c r="P578" i="34"/>
  <c r="A578" i="34"/>
  <c r="P141" i="34"/>
  <c r="A141" i="34"/>
  <c r="P445" i="34"/>
  <c r="A445" i="34"/>
  <c r="P539" i="34"/>
  <c r="A539" i="34"/>
  <c r="AA89" i="34"/>
  <c r="X89" i="34"/>
  <c r="Q89" i="34"/>
  <c r="R89" i="34"/>
  <c r="V89" i="34"/>
  <c r="R156" i="34"/>
  <c r="V156" i="34"/>
  <c r="AA156" i="34"/>
  <c r="X156" i="34"/>
  <c r="Q156" i="34"/>
  <c r="X258" i="34"/>
  <c r="Q258" i="34"/>
  <c r="R258" i="34"/>
  <c r="V258" i="34"/>
  <c r="AA258" i="34"/>
  <c r="R515" i="34"/>
  <c r="V515" i="34"/>
  <c r="AA515" i="34"/>
  <c r="X515" i="34"/>
  <c r="Q515" i="34"/>
  <c r="R578" i="34"/>
  <c r="V578" i="34"/>
  <c r="AA578" i="34"/>
  <c r="X578" i="34"/>
  <c r="Q578" i="34"/>
  <c r="AA141" i="34"/>
  <c r="X141" i="34"/>
  <c r="Q141" i="34"/>
  <c r="R141" i="34"/>
  <c r="V141" i="34"/>
  <c r="AA445" i="34"/>
  <c r="X445" i="34"/>
  <c r="Q445" i="34"/>
  <c r="R445" i="34"/>
  <c r="V445" i="34"/>
  <c r="X539" i="34"/>
  <c r="Q539" i="34"/>
  <c r="R539" i="34"/>
  <c r="V539" i="34"/>
  <c r="AA539" i="34"/>
  <c r="X140" i="34"/>
  <c r="Q140" i="34"/>
  <c r="R140" i="34"/>
  <c r="V140" i="34"/>
  <c r="AA140" i="34"/>
  <c r="AA252" i="34"/>
  <c r="X252" i="34"/>
  <c r="Q252" i="34"/>
  <c r="R252" i="34"/>
  <c r="V252" i="34"/>
  <c r="R446" i="34"/>
  <c r="V446" i="34"/>
  <c r="AA446" i="34"/>
  <c r="X446" i="34"/>
  <c r="Q446" i="34"/>
  <c r="AA540" i="34"/>
  <c r="X540" i="34"/>
  <c r="Q540" i="34"/>
  <c r="R540" i="34"/>
  <c r="V540" i="34"/>
  <c r="R253" i="34"/>
  <c r="V253" i="34"/>
  <c r="AA253" i="34"/>
  <c r="X253" i="34"/>
  <c r="Q253" i="34"/>
  <c r="AA514" i="34"/>
  <c r="X514" i="34"/>
  <c r="Q514" i="34"/>
  <c r="R514" i="34"/>
  <c r="V514" i="34"/>
  <c r="R541" i="34"/>
  <c r="V541" i="34"/>
  <c r="AA541" i="34"/>
  <c r="X541" i="34"/>
  <c r="Q541" i="34"/>
  <c r="A14" i="71"/>
  <c r="E37" i="71" s="1"/>
  <c r="A19" i="71"/>
  <c r="A20" i="71"/>
  <c r="A17" i="71"/>
  <c r="B184" i="34"/>
  <c r="A18" i="71"/>
  <c r="B566" i="34"/>
  <c r="A16" i="71"/>
  <c r="A15" i="71"/>
  <c r="U10" i="34"/>
  <c r="P184" i="34" l="1"/>
  <c r="A184" i="34"/>
  <c r="P566" i="34"/>
  <c r="A566" i="34"/>
  <c r="X184" i="34"/>
  <c r="Q184" i="34"/>
  <c r="R184" i="34"/>
  <c r="V184" i="34"/>
  <c r="AA184" i="34"/>
  <c r="X566" i="34"/>
  <c r="Q566" i="34"/>
  <c r="R566" i="34"/>
  <c r="V566" i="34"/>
  <c r="AA566" i="34"/>
  <c r="A36" i="71"/>
  <c r="H2" i="71"/>
  <c r="S10" i="34"/>
  <c r="O8" i="43" l="1"/>
  <c r="N8" i="43"/>
  <c r="S204" i="34" l="1"/>
  <c r="T204" i="34"/>
  <c r="U204" i="34"/>
  <c r="S24" i="34"/>
  <c r="T24" i="34"/>
  <c r="U24" i="34"/>
  <c r="U31" i="34"/>
  <c r="U257" i="34"/>
  <c r="S30" i="34"/>
  <c r="S46" i="34"/>
  <c r="S40" i="34"/>
  <c r="S28" i="34"/>
  <c r="U33" i="34"/>
  <c r="S34" i="34"/>
  <c r="S26" i="34"/>
  <c r="S68" i="34"/>
  <c r="U23" i="34"/>
  <c r="U35" i="34"/>
  <c r="U27" i="34"/>
  <c r="S32" i="34"/>
  <c r="S22" i="34"/>
  <c r="U47" i="34"/>
  <c r="U41" i="34"/>
  <c r="U29" i="34"/>
  <c r="U25" i="34"/>
  <c r="T30" i="34"/>
  <c r="T46" i="34"/>
  <c r="T40" i="34"/>
  <c r="T28" i="34"/>
  <c r="S33" i="34"/>
  <c r="T34" i="34"/>
  <c r="T26" i="34"/>
  <c r="T68" i="34"/>
  <c r="S23" i="34"/>
  <c r="S35" i="34"/>
  <c r="S31" i="34"/>
  <c r="S27" i="34"/>
  <c r="T32" i="34"/>
  <c r="T22" i="34"/>
  <c r="S47" i="34"/>
  <c r="S41" i="34"/>
  <c r="S29" i="34"/>
  <c r="S25" i="34"/>
  <c r="S257" i="34"/>
  <c r="U30" i="34"/>
  <c r="U46" i="34"/>
  <c r="U40" i="34"/>
  <c r="U28" i="34"/>
  <c r="T33" i="34"/>
  <c r="U34" i="34"/>
  <c r="U26" i="34"/>
  <c r="U68" i="34"/>
  <c r="T23" i="34"/>
  <c r="T35" i="34"/>
  <c r="T31" i="34"/>
  <c r="T27" i="34"/>
  <c r="U32" i="34"/>
  <c r="U22" i="34"/>
  <c r="T47" i="34"/>
  <c r="T41" i="34"/>
  <c r="T29" i="34"/>
  <c r="T25" i="34"/>
  <c r="T257" i="34"/>
  <c r="D13" i="15"/>
  <c r="C13" i="15"/>
  <c r="B102" i="34"/>
  <c r="B225" i="34"/>
  <c r="B248" i="34"/>
  <c r="B422" i="34"/>
  <c r="B432" i="34"/>
  <c r="B461" i="34"/>
  <c r="B512" i="34"/>
  <c r="B525" i="34"/>
  <c r="B538" i="34"/>
  <c r="B563" i="34"/>
  <c r="B608" i="34"/>
  <c r="B62" i="34"/>
  <c r="P461" i="34" l="1"/>
  <c r="A461" i="34"/>
  <c r="P225" i="34"/>
  <c r="A225" i="34"/>
  <c r="P432" i="34"/>
  <c r="A432" i="34"/>
  <c r="P102" i="34"/>
  <c r="A102" i="34"/>
  <c r="P525" i="34"/>
  <c r="A525" i="34"/>
  <c r="P563" i="34"/>
  <c r="A563" i="34"/>
  <c r="P538" i="34"/>
  <c r="A538" i="34"/>
  <c r="P62" i="34"/>
  <c r="A62" i="34"/>
  <c r="P422" i="34"/>
  <c r="A422" i="34"/>
  <c r="P608" i="34"/>
  <c r="A608" i="34"/>
  <c r="P512" i="34"/>
  <c r="A512" i="34"/>
  <c r="P248" i="34"/>
  <c r="A248" i="34"/>
  <c r="Q563" i="34"/>
  <c r="R563" i="34"/>
  <c r="V563" i="34"/>
  <c r="AA563" i="34"/>
  <c r="X563" i="34"/>
  <c r="R225" i="34"/>
  <c r="V225" i="34"/>
  <c r="AA225" i="34"/>
  <c r="X225" i="34"/>
  <c r="Q225" i="34"/>
  <c r="Q538" i="34"/>
  <c r="R538" i="34"/>
  <c r="V538" i="34"/>
  <c r="AA538" i="34"/>
  <c r="X538" i="34"/>
  <c r="R432" i="34"/>
  <c r="V432" i="34"/>
  <c r="AA432" i="34"/>
  <c r="X432" i="34"/>
  <c r="Q432" i="34"/>
  <c r="Q102" i="34"/>
  <c r="R102" i="34"/>
  <c r="V102" i="34"/>
  <c r="AA102" i="34"/>
  <c r="X102" i="34"/>
  <c r="AA62" i="34"/>
  <c r="X62" i="34"/>
  <c r="Q62" i="34"/>
  <c r="R62" i="34"/>
  <c r="V62" i="34"/>
  <c r="AA525" i="34"/>
  <c r="X525" i="34"/>
  <c r="Q525" i="34"/>
  <c r="R525" i="34"/>
  <c r="V525" i="34"/>
  <c r="X422" i="34"/>
  <c r="Q422" i="34"/>
  <c r="R422" i="34"/>
  <c r="V422" i="34"/>
  <c r="AA422" i="34"/>
  <c r="R461" i="34"/>
  <c r="V461" i="34"/>
  <c r="AA461" i="34"/>
  <c r="X461" i="34"/>
  <c r="Q461" i="34"/>
  <c r="R608" i="34"/>
  <c r="V608" i="34"/>
  <c r="AA608" i="34"/>
  <c r="X608" i="34"/>
  <c r="Q608" i="34"/>
  <c r="Q512" i="34"/>
  <c r="R512" i="34"/>
  <c r="V512" i="34"/>
  <c r="AA512" i="34"/>
  <c r="X512" i="34"/>
  <c r="AA248" i="34"/>
  <c r="X248" i="34"/>
  <c r="Q248" i="34"/>
  <c r="R248" i="34"/>
  <c r="V248" i="34"/>
  <c r="B105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P105" i="34" l="1"/>
  <c r="A105" i="34"/>
  <c r="R105" i="34"/>
  <c r="V105" i="34"/>
  <c r="AA105" i="34"/>
  <c r="X105" i="34"/>
  <c r="Q105" i="34"/>
  <c r="A21" i="68" l="1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S116" i="34" l="1"/>
  <c r="U134" i="34"/>
  <c r="T135" i="34"/>
  <c r="S91" i="34"/>
  <c r="U91" i="34"/>
  <c r="S137" i="34"/>
  <c r="S139" i="34"/>
  <c r="S143" i="34"/>
  <c r="S136" i="34"/>
  <c r="T139" i="34"/>
  <c r="S146" i="34"/>
  <c r="U144" i="34"/>
  <c r="T142" i="34"/>
  <c r="U130" i="34"/>
  <c r="T136" i="34"/>
  <c r="S149" i="34"/>
  <c r="T130" i="34"/>
  <c r="T147" i="34"/>
  <c r="T124" i="34"/>
  <c r="S124" i="34"/>
  <c r="S126" i="34"/>
  <c r="T153" i="34"/>
  <c r="U128" i="34"/>
  <c r="T159" i="34"/>
  <c r="S112" i="34"/>
  <c r="S108" i="34"/>
  <c r="S128" i="34"/>
  <c r="S114" i="34"/>
  <c r="T127" i="34"/>
  <c r="T106" i="34"/>
  <c r="T100" i="34"/>
  <c r="T128" i="34"/>
  <c r="U111" i="34"/>
  <c r="T115" i="34"/>
  <c r="U122" i="34"/>
  <c r="U108" i="34"/>
  <c r="T98" i="34"/>
  <c r="S92" i="34"/>
  <c r="S159" i="34"/>
  <c r="U112" i="34"/>
  <c r="U109" i="34"/>
  <c r="S103" i="34"/>
  <c r="U155" i="34"/>
  <c r="T140" i="34"/>
  <c r="S156" i="34"/>
  <c r="S78" i="34"/>
  <c r="S82" i="34"/>
  <c r="S86" i="34"/>
  <c r="S93" i="34"/>
  <c r="S97" i="34"/>
  <c r="T84" i="34"/>
  <c r="T95" i="34"/>
  <c r="U80" i="34"/>
  <c r="U84" i="34"/>
  <c r="U88" i="34"/>
  <c r="U95" i="34"/>
  <c r="T81" i="34"/>
  <c r="T89" i="34"/>
  <c r="S135" i="34"/>
  <c r="S117" i="34"/>
  <c r="U135" i="34"/>
  <c r="S152" i="34"/>
  <c r="U152" i="34"/>
  <c r="T137" i="34"/>
  <c r="T145" i="34"/>
  <c r="S138" i="34"/>
  <c r="T148" i="34"/>
  <c r="U145" i="34"/>
  <c r="U129" i="34"/>
  <c r="U148" i="34"/>
  <c r="S129" i="34"/>
  <c r="S144" i="34"/>
  <c r="S148" i="34"/>
  <c r="U142" i="34"/>
  <c r="U138" i="34"/>
  <c r="U113" i="34"/>
  <c r="T125" i="34"/>
  <c r="U124" i="34"/>
  <c r="S153" i="34"/>
  <c r="U153" i="34"/>
  <c r="S118" i="34"/>
  <c r="S115" i="34"/>
  <c r="S127" i="34"/>
  <c r="S106" i="34"/>
  <c r="U119" i="34"/>
  <c r="U121" i="34"/>
  <c r="S158" i="34"/>
  <c r="U104" i="34"/>
  <c r="T99" i="34"/>
  <c r="S119" i="34"/>
  <c r="S123" i="34"/>
  <c r="T114" i="34"/>
  <c r="U127" i="34"/>
  <c r="S107" i="34"/>
  <c r="U100" i="34"/>
  <c r="T119" i="34"/>
  <c r="U115" i="34"/>
  <c r="S122" i="34"/>
  <c r="U106" i="34"/>
  <c r="U98" i="34"/>
  <c r="T156" i="34"/>
  <c r="U156" i="34"/>
  <c r="T155" i="34"/>
  <c r="U79" i="34"/>
  <c r="U83" i="34"/>
  <c r="U87" i="34"/>
  <c r="U94" i="34"/>
  <c r="T78" i="34"/>
  <c r="T86" i="34"/>
  <c r="T97" i="34"/>
  <c r="S81" i="34"/>
  <c r="S85" i="34"/>
  <c r="S89" i="34"/>
  <c r="S96" i="34"/>
  <c r="T83" i="34"/>
  <c r="T94" i="34"/>
  <c r="T117" i="34"/>
  <c r="U117" i="34"/>
  <c r="T134" i="34"/>
  <c r="T91" i="34"/>
  <c r="S132" i="34"/>
  <c r="T132" i="34"/>
  <c r="S142" i="34"/>
  <c r="T144" i="34"/>
  <c r="T131" i="34"/>
  <c r="T149" i="34"/>
  <c r="T143" i="34"/>
  <c r="U131" i="34"/>
  <c r="U143" i="34"/>
  <c r="U133" i="34"/>
  <c r="S147" i="34"/>
  <c r="T146" i="34"/>
  <c r="U136" i="34"/>
  <c r="S113" i="34"/>
  <c r="S125" i="34"/>
  <c r="T126" i="34"/>
  <c r="U154" i="34"/>
  <c r="T154" i="34"/>
  <c r="U118" i="34"/>
  <c r="T121" i="34"/>
  <c r="U158" i="34"/>
  <c r="U107" i="34"/>
  <c r="U123" i="34"/>
  <c r="U120" i="34"/>
  <c r="T109" i="34"/>
  <c r="T101" i="34"/>
  <c r="T103" i="34"/>
  <c r="T118" i="34"/>
  <c r="S110" i="34"/>
  <c r="S121" i="34"/>
  <c r="S157" i="34"/>
  <c r="S104" i="34"/>
  <c r="U99" i="34"/>
  <c r="T123" i="34"/>
  <c r="U114" i="34"/>
  <c r="T158" i="34"/>
  <c r="T107" i="34"/>
  <c r="S100" i="34"/>
  <c r="T141" i="34"/>
  <c r="U141" i="34"/>
  <c r="S140" i="34"/>
  <c r="S80" i="34"/>
  <c r="S84" i="34"/>
  <c r="S88" i="34"/>
  <c r="S95" i="34"/>
  <c r="T80" i="34"/>
  <c r="T88" i="34"/>
  <c r="U78" i="34"/>
  <c r="U82" i="34"/>
  <c r="U86" i="34"/>
  <c r="U93" i="34"/>
  <c r="U97" i="34"/>
  <c r="T85" i="34"/>
  <c r="T96" i="34"/>
  <c r="S134" i="34"/>
  <c r="T116" i="34"/>
  <c r="U116" i="34"/>
  <c r="T152" i="34"/>
  <c r="U132" i="34"/>
  <c r="U137" i="34"/>
  <c r="U146" i="34"/>
  <c r="T133" i="34"/>
  <c r="U147" i="34"/>
  <c r="U149" i="34"/>
  <c r="T138" i="34"/>
  <c r="U139" i="34"/>
  <c r="S130" i="34"/>
  <c r="S133" i="34"/>
  <c r="S145" i="34"/>
  <c r="T129" i="34"/>
  <c r="S131" i="34"/>
  <c r="T113" i="34"/>
  <c r="U125" i="34"/>
  <c r="U126" i="34"/>
  <c r="S154" i="34"/>
  <c r="T92" i="34"/>
  <c r="T111" i="34"/>
  <c r="T120" i="34"/>
  <c r="U157" i="34"/>
  <c r="S101" i="34"/>
  <c r="U159" i="34"/>
  <c r="T122" i="34"/>
  <c r="T108" i="34"/>
  <c r="U103" i="34"/>
  <c r="U92" i="34"/>
  <c r="S111" i="34"/>
  <c r="U110" i="34"/>
  <c r="T112" i="34"/>
  <c r="S109" i="34"/>
  <c r="U101" i="34"/>
  <c r="S99" i="34"/>
  <c r="T110" i="34"/>
  <c r="S120" i="34"/>
  <c r="T157" i="34"/>
  <c r="T104" i="34"/>
  <c r="S98" i="34"/>
  <c r="S155" i="34"/>
  <c r="U140" i="34"/>
  <c r="S141" i="34"/>
  <c r="U81" i="34"/>
  <c r="U85" i="34"/>
  <c r="U89" i="34"/>
  <c r="U96" i="34"/>
  <c r="T82" i="34"/>
  <c r="T93" i="34"/>
  <c r="S79" i="34"/>
  <c r="S83" i="34"/>
  <c r="S87" i="34"/>
  <c r="S94" i="34"/>
  <c r="T79" i="34"/>
  <c r="T87" i="34"/>
  <c r="T102" i="34"/>
  <c r="U102" i="34"/>
  <c r="S102" i="34"/>
  <c r="U105" i="34"/>
  <c r="S105" i="34"/>
  <c r="T105" i="34"/>
  <c r="G139" i="55" a="1"/>
  <c r="G139" i="55" s="1"/>
  <c r="I113" i="55" a="1"/>
  <c r="I113" i="55" s="1"/>
  <c r="I126" i="55" a="1"/>
  <c r="I126" i="55" s="1"/>
  <c r="I35" i="55" a="1"/>
  <c r="I35" i="55" s="1"/>
  <c r="I153" i="55" a="1"/>
  <c r="I153" i="55" s="1"/>
  <c r="I57" i="55" a="1"/>
  <c r="I57" i="55" s="1"/>
  <c r="I61" i="55" a="1"/>
  <c r="I61" i="55" s="1"/>
  <c r="I139" i="55" a="1"/>
  <c r="I139" i="55" s="1"/>
  <c r="G180" i="55" a="1"/>
  <c r="G180" i="55" s="1"/>
  <c r="G182" i="55" a="1"/>
  <c r="G182" i="55" s="1"/>
  <c r="G154" i="55" a="1"/>
  <c r="G154" i="55" s="1"/>
  <c r="I140" i="55" a="1"/>
  <c r="I140" i="55" s="1"/>
  <c r="I43" i="55" a="1"/>
  <c r="I43" i="55" s="1"/>
  <c r="I62" i="55" a="1"/>
  <c r="I62" i="55" s="1"/>
  <c r="I115" i="55" a="1"/>
  <c r="I115" i="55" s="1"/>
  <c r="I151" i="55" a="1"/>
  <c r="I151" i="55" s="1"/>
  <c r="I70" i="55" a="1"/>
  <c r="I70" i="55" s="1"/>
  <c r="G81" i="55" a="1"/>
  <c r="G81" i="55" s="1"/>
  <c r="G71" i="55" a="1"/>
  <c r="G71" i="55" s="1"/>
  <c r="G136" i="55" a="1"/>
  <c r="G136" i="55" s="1"/>
  <c r="I93" i="55" a="1"/>
  <c r="I93" i="55" s="1"/>
  <c r="I180" i="55" a="1"/>
  <c r="I180" i="55" s="1"/>
  <c r="I182" i="55" a="1"/>
  <c r="I182" i="55" s="1"/>
  <c r="I154" i="55" a="1"/>
  <c r="I154" i="55" s="1"/>
  <c r="G93" i="55" a="1"/>
  <c r="G93" i="55" s="1"/>
  <c r="I81" i="55" a="1"/>
  <c r="I81" i="55" s="1"/>
  <c r="I71" i="55" a="1"/>
  <c r="I71" i="55" s="1"/>
  <c r="I136" i="55" a="1"/>
  <c r="I136" i="55" s="1"/>
  <c r="I122" i="55" a="1"/>
  <c r="I122" i="55" s="1"/>
  <c r="I118" i="55" a="1"/>
  <c r="I118" i="55" s="1"/>
  <c r="G70" i="55" a="1"/>
  <c r="G70" i="55" s="1"/>
  <c r="G140" i="55" a="1"/>
  <c r="G140" i="55" s="1"/>
  <c r="G43" i="55" a="1"/>
  <c r="G43" i="55" s="1"/>
  <c r="G113" i="55" a="1"/>
  <c r="G113" i="55" s="1"/>
  <c r="G61" i="55" a="1"/>
  <c r="G61" i="55" s="1"/>
  <c r="I192" i="55" a="1"/>
  <c r="I192" i="55" s="1"/>
  <c r="I98" i="55" a="1"/>
  <c r="I98" i="55" s="1"/>
  <c r="G201" i="55" a="1"/>
  <c r="G201" i="55" s="1"/>
  <c r="G207" i="55" a="1"/>
  <c r="G207" i="55" s="1"/>
  <c r="G36" i="55" a="1"/>
  <c r="G36" i="55" s="1"/>
  <c r="G124" i="55" a="1"/>
  <c r="G124" i="55" s="1"/>
  <c r="I14" i="55" a="1"/>
  <c r="I14" i="55" s="1"/>
  <c r="G106" i="55" a="1"/>
  <c r="G106" i="55" s="1"/>
  <c r="G103" i="55" a="1"/>
  <c r="G103" i="55" s="1"/>
  <c r="I211" i="55" a="1"/>
  <c r="I211" i="55" s="1"/>
  <c r="I186" i="55" a="1"/>
  <c r="I186" i="55" s="1"/>
  <c r="G23" i="55" a="1"/>
  <c r="G23" i="55" s="1"/>
  <c r="G62" i="55" a="1"/>
  <c r="G62" i="55" s="1"/>
  <c r="G153" i="55" a="1"/>
  <c r="G153" i="55" s="1"/>
  <c r="I78" i="55" a="1"/>
  <c r="I78" i="55" s="1"/>
  <c r="I201" i="55" a="1"/>
  <c r="I201" i="55" s="1"/>
  <c r="I207" i="55" a="1"/>
  <c r="I207" i="55" s="1"/>
  <c r="I36" i="55" a="1"/>
  <c r="I36" i="55" s="1"/>
  <c r="I124" i="55" a="1"/>
  <c r="I124" i="55" s="1"/>
  <c r="G37" i="55" a="1"/>
  <c r="G37" i="55" s="1"/>
  <c r="G40" i="55" a="1"/>
  <c r="G40" i="55" s="1"/>
  <c r="G49" i="55" a="1"/>
  <c r="G49" i="55" s="1"/>
  <c r="G90" i="55" a="1"/>
  <c r="G90" i="55" s="1"/>
  <c r="I73" i="55" a="1"/>
  <c r="I73" i="55" s="1"/>
  <c r="I63" i="55" a="1"/>
  <c r="I63" i="55" s="1"/>
  <c r="G196" i="55" a="1"/>
  <c r="G196" i="55" s="1"/>
  <c r="I196" i="55" a="1"/>
  <c r="I196" i="55" s="1"/>
  <c r="I21" i="55" a="1"/>
  <c r="I21" i="55" s="1"/>
  <c r="G126" i="55" a="1"/>
  <c r="G126" i="55" s="1"/>
  <c r="G122" i="55" a="1"/>
  <c r="G122" i="55" s="1"/>
  <c r="G151" i="55" a="1"/>
  <c r="G151" i="55" s="1"/>
  <c r="I37" i="55" a="1"/>
  <c r="I37" i="55" s="1"/>
  <c r="I40" i="55" a="1"/>
  <c r="I40" i="55" s="1"/>
  <c r="I49" i="55" a="1"/>
  <c r="I49" i="55" s="1"/>
  <c r="G211" i="55" a="1"/>
  <c r="G211" i="55" s="1"/>
  <c r="G186" i="55" a="1"/>
  <c r="G186" i="55" s="1"/>
  <c r="I106" i="55" a="1"/>
  <c r="I106" i="55" s="1"/>
  <c r="G138" i="55" a="1"/>
  <c r="G138" i="55" s="1"/>
  <c r="I138" i="55" a="1"/>
  <c r="I138" i="55" s="1"/>
  <c r="G29" i="55" a="1"/>
  <c r="G29" i="55" s="1"/>
  <c r="G35" i="55" a="1"/>
  <c r="G35" i="55" s="1"/>
  <c r="G115" i="55" a="1"/>
  <c r="G115" i="55" s="1"/>
  <c r="G57" i="55" a="1"/>
  <c r="G57" i="55" s="1"/>
  <c r="K57" i="55" s="1"/>
  <c r="G118" i="55" a="1"/>
  <c r="G118" i="55" s="1"/>
  <c r="G78" i="55" a="1"/>
  <c r="G78" i="55" s="1"/>
  <c r="G192" i="55" a="1"/>
  <c r="G192" i="55" s="1"/>
  <c r="G98" i="55" a="1"/>
  <c r="G98" i="55" s="1"/>
  <c r="G14" i="55" a="1"/>
  <c r="G14" i="55" s="1"/>
  <c r="G73" i="55" a="1"/>
  <c r="G73" i="55" s="1"/>
  <c r="G63" i="55" a="1"/>
  <c r="G63" i="55" s="1"/>
  <c r="I103" i="55" a="1"/>
  <c r="I103" i="55" s="1"/>
  <c r="I90" i="55" a="1"/>
  <c r="I90" i="55" s="1"/>
  <c r="G22" i="55" a="1"/>
  <c r="G22" i="55" s="1"/>
  <c r="G21" i="55" a="1"/>
  <c r="G21" i="55" s="1"/>
  <c r="I23" i="55" a="1"/>
  <c r="I23" i="55" s="1"/>
  <c r="I22" i="55" a="1"/>
  <c r="I22" i="55" s="1"/>
  <c r="I29" i="55" a="1"/>
  <c r="I29" i="55" s="1"/>
  <c r="A10" i="12"/>
  <c r="A85" i="43" l="1"/>
  <c r="E85" i="43"/>
  <c r="A86" i="43"/>
  <c r="E86" i="43"/>
  <c r="B87" i="43"/>
  <c r="F87" i="43"/>
  <c r="C88" i="43"/>
  <c r="G88" i="43"/>
  <c r="D89" i="43"/>
  <c r="B85" i="43"/>
  <c r="F85" i="43"/>
  <c r="B86" i="43"/>
  <c r="F86" i="43"/>
  <c r="C87" i="43"/>
  <c r="G87" i="43"/>
  <c r="D88" i="43"/>
  <c r="A89" i="43"/>
  <c r="H89" i="43" s="1"/>
  <c r="E89" i="43"/>
  <c r="C85" i="43"/>
  <c r="G85" i="43"/>
  <c r="C86" i="43"/>
  <c r="G86" i="43"/>
  <c r="D87" i="43"/>
  <c r="A88" i="43"/>
  <c r="H88" i="43" s="1"/>
  <c r="E88" i="43"/>
  <c r="B89" i="43"/>
  <c r="F89" i="43"/>
  <c r="D85" i="43"/>
  <c r="D86" i="43"/>
  <c r="A87" i="43"/>
  <c r="E87" i="43"/>
  <c r="B88" i="43"/>
  <c r="F88" i="43"/>
  <c r="C89" i="43"/>
  <c r="G89" i="43"/>
  <c r="F15" i="43"/>
  <c r="H11" i="43"/>
  <c r="A45" i="43"/>
  <c r="B54" i="43"/>
  <c r="C63" i="43"/>
  <c r="D72" i="43"/>
  <c r="E81" i="43"/>
  <c r="G90" i="43"/>
  <c r="F53" i="43"/>
  <c r="G62" i="43"/>
  <c r="A72" i="43"/>
  <c r="B81" i="43"/>
  <c r="C45" i="43"/>
  <c r="D54" i="43"/>
  <c r="E63" i="43"/>
  <c r="F72" i="43"/>
  <c r="G81" i="43"/>
  <c r="D45" i="43"/>
  <c r="E54" i="43"/>
  <c r="F63" i="43"/>
  <c r="G72" i="43"/>
  <c r="A82" i="43"/>
  <c r="E82" i="43"/>
  <c r="B50" i="43"/>
  <c r="C59" i="43"/>
  <c r="D68" i="43"/>
  <c r="E77" i="43"/>
  <c r="F49" i="43"/>
  <c r="G58" i="43"/>
  <c r="A68" i="43"/>
  <c r="B77" i="43"/>
  <c r="D50" i="43"/>
  <c r="E59" i="43"/>
  <c r="F68" i="43"/>
  <c r="G77" i="43"/>
  <c r="E50" i="43"/>
  <c r="F59" i="43"/>
  <c r="G68" i="43"/>
  <c r="A78" i="43"/>
  <c r="D48" i="43"/>
  <c r="E57" i="43"/>
  <c r="F66" i="43"/>
  <c r="G75" i="43"/>
  <c r="A48" i="43"/>
  <c r="B57" i="43"/>
  <c r="C66" i="43"/>
  <c r="D75" i="43"/>
  <c r="E84" i="43"/>
  <c r="F48" i="43"/>
  <c r="G57" i="43"/>
  <c r="A67" i="43"/>
  <c r="B76" i="43"/>
  <c r="G48" i="43"/>
  <c r="A58" i="43"/>
  <c r="B67" i="43"/>
  <c r="C76" i="43"/>
  <c r="A49" i="43"/>
  <c r="B58" i="43"/>
  <c r="C67" i="43"/>
  <c r="D76" i="43"/>
  <c r="E48" i="43"/>
  <c r="F57" i="43"/>
  <c r="G66" i="43"/>
  <c r="A76" i="43"/>
  <c r="C49" i="43"/>
  <c r="D58" i="43"/>
  <c r="E67" i="43"/>
  <c r="F76" i="43"/>
  <c r="D49" i="43"/>
  <c r="E58" i="43"/>
  <c r="F67" i="43"/>
  <c r="G76" i="43"/>
  <c r="G84" i="43"/>
  <c r="B79" i="43"/>
  <c r="C47" i="43"/>
  <c r="D56" i="43"/>
  <c r="E65" i="43"/>
  <c r="F74" i="43"/>
  <c r="G83" i="43"/>
  <c r="G46" i="43"/>
  <c r="A56" i="43"/>
  <c r="B65" i="43"/>
  <c r="C74" i="43"/>
  <c r="D83" i="43"/>
  <c r="E47" i="43"/>
  <c r="F56" i="43"/>
  <c r="G65" i="43"/>
  <c r="A75" i="43"/>
  <c r="B84" i="43"/>
  <c r="F47" i="43"/>
  <c r="G56" i="43"/>
  <c r="A66" i="43"/>
  <c r="B75" i="43"/>
  <c r="C84" i="43"/>
  <c r="D52" i="43"/>
  <c r="E61" i="43"/>
  <c r="F70" i="43"/>
  <c r="G79" i="43"/>
  <c r="A52" i="43"/>
  <c r="B61" i="43"/>
  <c r="C70" i="43"/>
  <c r="D79" i="43"/>
  <c r="F52" i="43"/>
  <c r="G61" i="43"/>
  <c r="A71" i="43"/>
  <c r="B80" i="43"/>
  <c r="G52" i="43"/>
  <c r="A62" i="43"/>
  <c r="B71" i="43"/>
  <c r="C80" i="43"/>
  <c r="F50" i="43"/>
  <c r="G59" i="43"/>
  <c r="A69" i="43"/>
  <c r="B78" i="43"/>
  <c r="C50" i="43"/>
  <c r="D59" i="43"/>
  <c r="E68" i="43"/>
  <c r="F77" i="43"/>
  <c r="A51" i="43"/>
  <c r="B60" i="43"/>
  <c r="C69" i="43"/>
  <c r="D78" i="43"/>
  <c r="B51" i="43"/>
  <c r="C60" i="43"/>
  <c r="D69" i="43"/>
  <c r="E78" i="43"/>
  <c r="C51" i="43"/>
  <c r="D60" i="43"/>
  <c r="E69" i="43"/>
  <c r="F78" i="43"/>
  <c r="G50" i="43"/>
  <c r="A60" i="43"/>
  <c r="B69" i="43"/>
  <c r="C78" i="43"/>
  <c r="E51" i="43"/>
  <c r="F60" i="43"/>
  <c r="G69" i="43"/>
  <c r="A79" i="43"/>
  <c r="F51" i="43"/>
  <c r="G60" i="43"/>
  <c r="A70" i="43"/>
  <c r="C90" i="43"/>
  <c r="E49" i="43"/>
  <c r="F58" i="43"/>
  <c r="G67" i="43"/>
  <c r="A77" i="43"/>
  <c r="B49" i="43"/>
  <c r="C58" i="43"/>
  <c r="D67" i="43"/>
  <c r="E76" i="43"/>
  <c r="G49" i="43"/>
  <c r="A59" i="43"/>
  <c r="B68" i="43"/>
  <c r="C77" i="43"/>
  <c r="A50" i="43"/>
  <c r="B59" i="43"/>
  <c r="C68" i="43"/>
  <c r="D77" i="43"/>
  <c r="E45" i="43"/>
  <c r="F54" i="43"/>
  <c r="G63" i="43"/>
  <c r="A73" i="43"/>
  <c r="B82" i="43"/>
  <c r="B45" i="43"/>
  <c r="C54" i="43"/>
  <c r="D63" i="43"/>
  <c r="E72" i="43"/>
  <c r="F81" i="43"/>
  <c r="G45" i="43"/>
  <c r="A55" i="43"/>
  <c r="B64" i="43"/>
  <c r="C73" i="43"/>
  <c r="D82" i="43"/>
  <c r="A46" i="43"/>
  <c r="B55" i="43"/>
  <c r="C64" i="43"/>
  <c r="D73" i="43"/>
  <c r="A53" i="43"/>
  <c r="B62" i="43"/>
  <c r="C71" i="43"/>
  <c r="D80" i="43"/>
  <c r="E52" i="43"/>
  <c r="F61" i="43"/>
  <c r="G70" i="43"/>
  <c r="A80" i="43"/>
  <c r="C53" i="43"/>
  <c r="D62" i="43"/>
  <c r="E71" i="43"/>
  <c r="F80" i="43"/>
  <c r="D53" i="43"/>
  <c r="E62" i="43"/>
  <c r="F71" i="43"/>
  <c r="G80" i="43"/>
  <c r="A90" i="43"/>
  <c r="H90" i="43" s="1"/>
  <c r="E53" i="43"/>
  <c r="F62" i="43"/>
  <c r="G71" i="43"/>
  <c r="A81" i="43"/>
  <c r="B90" i="43"/>
  <c r="B53" i="43"/>
  <c r="C62" i="43"/>
  <c r="D71" i="43"/>
  <c r="E80" i="43"/>
  <c r="G53" i="43"/>
  <c r="A63" i="43"/>
  <c r="B72" i="43"/>
  <c r="C81" i="43"/>
  <c r="D90" i="43"/>
  <c r="A54" i="43"/>
  <c r="B63" i="43"/>
  <c r="C72" i="43"/>
  <c r="D81" i="43"/>
  <c r="E90" i="43"/>
  <c r="G51" i="43"/>
  <c r="A61" i="43"/>
  <c r="B70" i="43"/>
  <c r="C79" i="43"/>
  <c r="D51" i="43"/>
  <c r="E60" i="43"/>
  <c r="F69" i="43"/>
  <c r="G78" i="43"/>
  <c r="B52" i="43"/>
  <c r="C61" i="43"/>
  <c r="D70" i="43"/>
  <c r="E79" i="43"/>
  <c r="C52" i="43"/>
  <c r="D61" i="43"/>
  <c r="E70" i="43"/>
  <c r="F79" i="43"/>
  <c r="G47" i="43"/>
  <c r="A57" i="43"/>
  <c r="B66" i="43"/>
  <c r="C75" i="43"/>
  <c r="D84" i="43"/>
  <c r="D47" i="43"/>
  <c r="E56" i="43"/>
  <c r="F65" i="43"/>
  <c r="G74" i="43"/>
  <c r="A84" i="43"/>
  <c r="B48" i="43"/>
  <c r="C57" i="43"/>
  <c r="D66" i="43"/>
  <c r="E75" i="43"/>
  <c r="F84" i="43"/>
  <c r="C48" i="43"/>
  <c r="D57" i="43"/>
  <c r="E66" i="43"/>
  <c r="F75" i="43"/>
  <c r="B46" i="43"/>
  <c r="C55" i="43"/>
  <c r="D64" i="43"/>
  <c r="E73" i="43"/>
  <c r="F82" i="43"/>
  <c r="F45" i="43"/>
  <c r="G54" i="43"/>
  <c r="A64" i="43"/>
  <c r="B73" i="43"/>
  <c r="C82" i="43"/>
  <c r="D46" i="43"/>
  <c r="E55" i="43"/>
  <c r="F64" i="43"/>
  <c r="G73" i="43"/>
  <c r="A83" i="43"/>
  <c r="E46" i="43"/>
  <c r="F55" i="43"/>
  <c r="G64" i="43"/>
  <c r="A74" i="43"/>
  <c r="B83" i="43"/>
  <c r="F46" i="43"/>
  <c r="G55" i="43"/>
  <c r="A65" i="43"/>
  <c r="B74" i="43"/>
  <c r="C83" i="43"/>
  <c r="C46" i="43"/>
  <c r="D55" i="43"/>
  <c r="E64" i="43"/>
  <c r="F73" i="43"/>
  <c r="G82" i="43"/>
  <c r="A47" i="43"/>
  <c r="B56" i="43"/>
  <c r="C65" i="43"/>
  <c r="D74" i="43"/>
  <c r="E83" i="43"/>
  <c r="B47" i="43"/>
  <c r="C56" i="43"/>
  <c r="D65" i="43"/>
  <c r="E74" i="43"/>
  <c r="F83" i="43"/>
  <c r="F90" i="43"/>
  <c r="E13" i="43"/>
  <c r="E15" i="43"/>
  <c r="D13" i="43"/>
  <c r="F19" i="43"/>
  <c r="D21" i="43"/>
  <c r="E16" i="43"/>
  <c r="D19" i="43"/>
  <c r="D14" i="43"/>
  <c r="F20" i="43"/>
  <c r="D16" i="43"/>
  <c r="D22" i="43"/>
  <c r="D17" i="43"/>
  <c r="E20" i="43"/>
  <c r="E19" i="43"/>
  <c r="F18" i="43"/>
  <c r="F16" i="43"/>
  <c r="F21" i="43"/>
  <c r="E22" i="43"/>
  <c r="E14" i="43"/>
  <c r="E17" i="43"/>
  <c r="F14" i="43"/>
  <c r="E18" i="43"/>
  <c r="F22" i="43"/>
  <c r="F13" i="43"/>
  <c r="E21" i="43"/>
  <c r="D18" i="43"/>
  <c r="F17" i="43"/>
  <c r="D15" i="43"/>
  <c r="D20" i="43"/>
  <c r="K14" i="55"/>
  <c r="K73" i="55"/>
  <c r="K151" i="55"/>
  <c r="K153" i="55"/>
  <c r="K78" i="55"/>
  <c r="K115" i="55"/>
  <c r="K186" i="55"/>
  <c r="A44" i="43"/>
  <c r="C44" i="43"/>
  <c r="E44" i="43"/>
  <c r="G44" i="43"/>
  <c r="D44" i="43"/>
  <c r="B44" i="43"/>
  <c r="F44" i="43"/>
  <c r="K154" i="55"/>
  <c r="K207" i="55"/>
  <c r="K21" i="55"/>
  <c r="K211" i="55"/>
  <c r="K62" i="55"/>
  <c r="K118" i="55"/>
  <c r="K35" i="55"/>
  <c r="K98" i="55"/>
  <c r="K126" i="55"/>
  <c r="K63" i="55"/>
  <c r="K140" i="55"/>
  <c r="K43" i="55"/>
  <c r="K70" i="55"/>
  <c r="K22" i="55"/>
  <c r="K122" i="55"/>
  <c r="K192" i="55"/>
  <c r="K113" i="55"/>
  <c r="K93" i="55"/>
  <c r="K61" i="55"/>
  <c r="K90" i="55"/>
  <c r="K106" i="55"/>
  <c r="K124" i="55"/>
  <c r="K182" i="55"/>
  <c r="K49" i="55"/>
  <c r="K40" i="55"/>
  <c r="K23" i="55"/>
  <c r="K36" i="55"/>
  <c r="K71" i="55"/>
  <c r="K180" i="55"/>
  <c r="K139" i="55"/>
  <c r="K196" i="55"/>
  <c r="K136" i="55"/>
  <c r="K81" i="55"/>
  <c r="K29" i="55"/>
  <c r="K138" i="55"/>
  <c r="K37" i="55"/>
  <c r="K103" i="55"/>
  <c r="K201" i="55"/>
  <c r="A12" i="43"/>
  <c r="G96" i="43" s="1"/>
  <c r="G24" i="55" a="1"/>
  <c r="G24" i="55" s="1"/>
  <c r="G28" i="55" a="1"/>
  <c r="G28" i="55" s="1"/>
  <c r="A18" i="55"/>
  <c r="B17" i="55"/>
  <c r="A17" i="55" s="1"/>
  <c r="B13" i="55"/>
  <c r="B12" i="55"/>
  <c r="E18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P13" i="34" s="1"/>
  <c r="B15" i="34"/>
  <c r="P15" i="34" s="1"/>
  <c r="B16" i="34"/>
  <c r="P16" i="34" s="1"/>
  <c r="B21" i="34"/>
  <c r="B17" i="34"/>
  <c r="B18" i="34"/>
  <c r="B19" i="34"/>
  <c r="B20" i="34"/>
  <c r="B10" i="34"/>
  <c r="P10" i="34" s="1"/>
  <c r="P17" i="34" l="1"/>
  <c r="A17" i="34"/>
  <c r="P20" i="34"/>
  <c r="A20" i="34"/>
  <c r="P19" i="34"/>
  <c r="A19" i="34"/>
  <c r="P21" i="34"/>
  <c r="A21" i="34"/>
  <c r="P18" i="34"/>
  <c r="A18" i="34"/>
  <c r="V11" i="34"/>
  <c r="P11" i="34"/>
  <c r="X17" i="34"/>
  <c r="Q17" i="34"/>
  <c r="R17" i="34"/>
  <c r="V17" i="34"/>
  <c r="AA17" i="34"/>
  <c r="X21" i="34"/>
  <c r="Q21" i="34"/>
  <c r="R21" i="34"/>
  <c r="V21" i="34"/>
  <c r="AA21" i="34"/>
  <c r="Q20" i="34"/>
  <c r="R20" i="34"/>
  <c r="V20" i="34"/>
  <c r="AA20" i="34"/>
  <c r="X20" i="34"/>
  <c r="R19" i="34"/>
  <c r="V19" i="34"/>
  <c r="AA19" i="34"/>
  <c r="X19" i="34"/>
  <c r="Q19" i="34"/>
  <c r="Q16" i="34"/>
  <c r="R16" i="34"/>
  <c r="V16" i="34"/>
  <c r="AA16" i="34"/>
  <c r="X16" i="34"/>
  <c r="AA18" i="34"/>
  <c r="X18" i="34"/>
  <c r="Q18" i="34"/>
  <c r="R18" i="34"/>
  <c r="V18" i="34"/>
  <c r="R15" i="34"/>
  <c r="V15" i="34"/>
  <c r="AA15" i="34"/>
  <c r="X15" i="34"/>
  <c r="Q15" i="34"/>
  <c r="V10" i="34"/>
  <c r="X10" i="34"/>
  <c r="V12" i="34"/>
  <c r="A12" i="34"/>
  <c r="V13" i="34"/>
  <c r="A13" i="34"/>
  <c r="A16" i="34"/>
  <c r="A15" i="34"/>
  <c r="AA13" i="34"/>
  <c r="Q13" i="34"/>
  <c r="R13" i="34"/>
  <c r="Q12" i="34"/>
  <c r="R12" i="34"/>
  <c r="AA12" i="34"/>
  <c r="AA11" i="34"/>
  <c r="Q11" i="34"/>
  <c r="R11" i="34"/>
  <c r="Q10" i="34"/>
  <c r="AA10" i="34"/>
  <c r="G7" i="57"/>
  <c r="D11" i="12"/>
  <c r="C11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2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8" i="15" s="1"/>
  <c r="D38" i="15"/>
  <c r="D58" i="15" s="1"/>
  <c r="F36" i="74" l="1"/>
  <c r="F37" i="74" s="1"/>
  <c r="G34" i="77"/>
  <c r="F33" i="77"/>
  <c r="F34" i="77" s="1"/>
  <c r="G28" i="78"/>
  <c r="G24" i="75"/>
  <c r="F23" i="75"/>
  <c r="F24" i="75" s="1"/>
  <c r="G37" i="74"/>
  <c r="D43" i="15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165" i="55" a="1"/>
  <c r="I165" i="55" s="1"/>
  <c r="G165" i="55" a="1"/>
  <c r="G165" i="55" s="1"/>
  <c r="I28" i="55" a="1"/>
  <c r="I28" i="55" s="1"/>
  <c r="I24" i="55" a="1"/>
  <c r="I24" i="55" s="1"/>
  <c r="I25" i="55" a="1"/>
  <c r="I25" i="55" s="1"/>
  <c r="G25" i="55" a="1"/>
  <c r="G25" i="55" s="1"/>
  <c r="G31" i="55" s="1"/>
  <c r="F18" i="55"/>
  <c r="F19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71" i="34" l="1"/>
  <c r="W70" i="34"/>
  <c r="W65" i="34"/>
  <c r="W64" i="34"/>
  <c r="W51" i="34"/>
  <c r="W50" i="34"/>
  <c r="W276" i="34"/>
  <c r="W151" i="34"/>
  <c r="W150" i="34"/>
  <c r="W90" i="34"/>
  <c r="W154" i="34"/>
  <c r="W153" i="34"/>
  <c r="W152" i="34"/>
  <c r="W155" i="34"/>
  <c r="W149" i="34"/>
  <c r="W146" i="34"/>
  <c r="W142" i="34"/>
  <c r="W145" i="34"/>
  <c r="W144" i="34"/>
  <c r="W139" i="34"/>
  <c r="W143" i="34"/>
  <c r="W138" i="34"/>
  <c r="W135" i="34"/>
  <c r="W134" i="34"/>
  <c r="W63" i="34"/>
  <c r="W117" i="34"/>
  <c r="W136" i="34"/>
  <c r="W132" i="34"/>
  <c r="W129" i="34"/>
  <c r="W125" i="34"/>
  <c r="W123" i="34"/>
  <c r="W118" i="34"/>
  <c r="W110" i="34"/>
  <c r="W91" i="34"/>
  <c r="W116" i="34"/>
  <c r="W133" i="34"/>
  <c r="W130" i="34"/>
  <c r="W128" i="34"/>
  <c r="W124" i="34"/>
  <c r="W119" i="34"/>
  <c r="W111" i="34"/>
  <c r="W92" i="34"/>
  <c r="W56" i="34"/>
  <c r="W58" i="34"/>
  <c r="W60" i="34"/>
  <c r="W77" i="34"/>
  <c r="W73" i="34"/>
  <c r="W67" i="34"/>
  <c r="W57" i="34"/>
  <c r="W59" i="34"/>
  <c r="W76" i="34"/>
  <c r="W66" i="34"/>
  <c r="W55" i="34"/>
  <c r="W53" i="34"/>
  <c r="W75" i="34"/>
  <c r="W49" i="34"/>
  <c r="W69" i="34"/>
  <c r="W72" i="34"/>
  <c r="W54" i="34"/>
  <c r="W52" i="34"/>
  <c r="W74" i="34"/>
  <c r="W48" i="34"/>
  <c r="G217" i="55"/>
  <c r="I217" i="55"/>
  <c r="W16" i="34"/>
  <c r="W20" i="34"/>
  <c r="W24" i="34"/>
  <c r="W28" i="34"/>
  <c r="W40" i="34"/>
  <c r="W34" i="34"/>
  <c r="W68" i="34"/>
  <c r="W43" i="34"/>
  <c r="W37" i="34"/>
  <c r="W79" i="34"/>
  <c r="W83" i="34"/>
  <c r="W87" i="34"/>
  <c r="W95" i="34"/>
  <c r="W99" i="34"/>
  <c r="W103" i="34"/>
  <c r="W107" i="34"/>
  <c r="W115" i="34"/>
  <c r="W140" i="34"/>
  <c r="W147" i="34"/>
  <c r="W157" i="34"/>
  <c r="W161" i="34"/>
  <c r="W165" i="34"/>
  <c r="W168" i="34"/>
  <c r="W172" i="34"/>
  <c r="W176" i="34"/>
  <c r="W180" i="34"/>
  <c r="W187" i="34"/>
  <c r="W191" i="34"/>
  <c r="W195" i="34"/>
  <c r="W199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251" i="34"/>
  <c r="W255" i="34"/>
  <c r="W259" i="34"/>
  <c r="W263" i="34"/>
  <c r="W267" i="34"/>
  <c r="W271" i="34"/>
  <c r="W292" i="34"/>
  <c r="W273" i="34"/>
  <c r="W277" i="34"/>
  <c r="W281" i="34"/>
  <c r="W285" i="34"/>
  <c r="W289" i="34"/>
  <c r="W299" i="34"/>
  <c r="W302" i="34"/>
  <c r="W306" i="34"/>
  <c r="W310" i="34"/>
  <c r="W314" i="34"/>
  <c r="W318" i="34"/>
  <c r="W322" i="34"/>
  <c r="W558" i="34"/>
  <c r="W564" i="34"/>
  <c r="W584" i="34"/>
  <c r="W651" i="34"/>
  <c r="W666" i="34"/>
  <c r="W677" i="34"/>
  <c r="W692" i="34"/>
  <c r="W748" i="34"/>
  <c r="W435" i="34"/>
  <c r="W439" i="34"/>
  <c r="W443" i="34"/>
  <c r="W490" i="34"/>
  <c r="W704" i="34"/>
  <c r="W15" i="34"/>
  <c r="W19" i="34"/>
  <c r="W23" i="34"/>
  <c r="W27" i="34"/>
  <c r="W31" i="34"/>
  <c r="W33" i="34"/>
  <c r="W47" i="34"/>
  <c r="W42" i="34"/>
  <c r="W36" i="34"/>
  <c r="W78" i="34"/>
  <c r="W82" i="34"/>
  <c r="W86" i="34"/>
  <c r="W94" i="34"/>
  <c r="W98" i="34"/>
  <c r="W102" i="34"/>
  <c r="W106" i="34"/>
  <c r="W114" i="34"/>
  <c r="W120" i="34"/>
  <c r="W127" i="34"/>
  <c r="W156" i="34"/>
  <c r="W160" i="34"/>
  <c r="W164" i="34"/>
  <c r="W167" i="34"/>
  <c r="W171" i="34"/>
  <c r="W175" i="34"/>
  <c r="W179" i="34"/>
  <c r="W183" i="34"/>
  <c r="W186" i="34"/>
  <c r="W190" i="34"/>
  <c r="W194" i="34"/>
  <c r="W198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0" i="34"/>
  <c r="W254" i="34"/>
  <c r="W258" i="34"/>
  <c r="W262" i="34"/>
  <c r="W266" i="34"/>
  <c r="W270" i="34"/>
  <c r="W291" i="34"/>
  <c r="W295" i="34"/>
  <c r="W280" i="34"/>
  <c r="W284" i="34"/>
  <c r="W288" i="34"/>
  <c r="W298" i="34"/>
  <c r="W305" i="34"/>
  <c r="W309" i="34"/>
  <c r="W313" i="34"/>
  <c r="W317" i="34"/>
  <c r="W321" i="34"/>
  <c r="W557" i="34"/>
  <c r="W561" i="34"/>
  <c r="W572" i="34"/>
  <c r="W635" i="34"/>
  <c r="W665" i="34"/>
  <c r="W672" i="34"/>
  <c r="W691" i="34"/>
  <c r="W695" i="34"/>
  <c r="W326" i="34"/>
  <c r="W438" i="34"/>
  <c r="W442" i="34"/>
  <c r="W489" i="34"/>
  <c r="W518" i="34"/>
  <c r="W14" i="34"/>
  <c r="W18" i="34"/>
  <c r="W22" i="34"/>
  <c r="W26" i="34"/>
  <c r="W30" i="34"/>
  <c r="W32" i="34"/>
  <c r="W46" i="34"/>
  <c r="W62" i="34"/>
  <c r="W45" i="34"/>
  <c r="W39" i="34"/>
  <c r="W81" i="34"/>
  <c r="W85" i="34"/>
  <c r="W89" i="34"/>
  <c r="W97" i="34"/>
  <c r="W101" i="34"/>
  <c r="W105" i="34"/>
  <c r="W109" i="34"/>
  <c r="W113" i="34"/>
  <c r="W122" i="34"/>
  <c r="W126" i="34"/>
  <c r="W159" i="34"/>
  <c r="W163" i="34"/>
  <c r="W170" i="34"/>
  <c r="W174" i="34"/>
  <c r="W178" i="34"/>
  <c r="W182" i="34"/>
  <c r="W185" i="34"/>
  <c r="W189" i="34"/>
  <c r="W193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249" i="34"/>
  <c r="W253" i="34"/>
  <c r="W257" i="34"/>
  <c r="W261" i="34"/>
  <c r="W265" i="34"/>
  <c r="W269" i="34"/>
  <c r="W290" i="34"/>
  <c r="W294" i="34"/>
  <c r="W275" i="34"/>
  <c r="W279" i="34"/>
  <c r="W283" i="34"/>
  <c r="W287" i="34"/>
  <c r="W297" i="34"/>
  <c r="W301" i="34"/>
  <c r="W304" i="34"/>
  <c r="W308" i="34"/>
  <c r="W312" i="34"/>
  <c r="W316" i="34"/>
  <c r="W320" i="34"/>
  <c r="W324" i="34"/>
  <c r="W560" i="34"/>
  <c r="W571" i="34"/>
  <c r="W634" i="34"/>
  <c r="W664" i="34"/>
  <c r="W671" i="34"/>
  <c r="W690" i="34"/>
  <c r="W694" i="34"/>
  <c r="W325" i="34"/>
  <c r="W437" i="34"/>
  <c r="W441" i="34"/>
  <c r="W488" i="34"/>
  <c r="W517" i="34"/>
  <c r="W712" i="34"/>
  <c r="W17" i="34"/>
  <c r="W21" i="34"/>
  <c r="W25" i="34"/>
  <c r="W29" i="34"/>
  <c r="W41" i="34"/>
  <c r="W35" i="34"/>
  <c r="W61" i="34"/>
  <c r="W44" i="34"/>
  <c r="W38" i="34"/>
  <c r="W80" i="34"/>
  <c r="W84" i="34"/>
  <c r="W88" i="34"/>
  <c r="W93" i="34"/>
  <c r="W96" i="34"/>
  <c r="W100" i="34"/>
  <c r="W104" i="34"/>
  <c r="W108" i="34"/>
  <c r="W112" i="34"/>
  <c r="W121" i="34"/>
  <c r="W131" i="34"/>
  <c r="W137" i="34"/>
  <c r="W141" i="34"/>
  <c r="W148" i="34"/>
  <c r="W158" i="34"/>
  <c r="W162" i="34"/>
  <c r="W166" i="34"/>
  <c r="W169" i="34"/>
  <c r="W173" i="34"/>
  <c r="W177" i="34"/>
  <c r="W181" i="34"/>
  <c r="W184" i="34"/>
  <c r="W188" i="34"/>
  <c r="W192" i="34"/>
  <c r="W196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252" i="34"/>
  <c r="W256" i="34"/>
  <c r="W260" i="34"/>
  <c r="W264" i="34"/>
  <c r="W268" i="34"/>
  <c r="W272" i="34"/>
  <c r="W293" i="34"/>
  <c r="W274" i="34"/>
  <c r="W278" i="34"/>
  <c r="W282" i="34"/>
  <c r="W286" i="34"/>
  <c r="W296" i="34"/>
  <c r="W300" i="34"/>
  <c r="W303" i="34"/>
  <c r="W307" i="34"/>
  <c r="W311" i="34"/>
  <c r="W315" i="34"/>
  <c r="W319" i="34"/>
  <c r="W323" i="34"/>
  <c r="W559" i="34"/>
  <c r="W565" i="34"/>
  <c r="W585" i="34"/>
  <c r="W652" i="34"/>
  <c r="W667" i="34"/>
  <c r="W678" i="34"/>
  <c r="W693" i="34"/>
  <c r="W749" i="34"/>
  <c r="W436" i="34"/>
  <c r="W440" i="34"/>
  <c r="W444" i="34"/>
  <c r="W516" i="34"/>
  <c r="W711" i="34"/>
  <c r="W713" i="34"/>
  <c r="W717" i="34"/>
  <c r="W721" i="34"/>
  <c r="W767" i="34"/>
  <c r="W766" i="34"/>
  <c r="W771" i="34"/>
  <c r="W777" i="34"/>
  <c r="W829" i="34"/>
  <c r="W840" i="34"/>
  <c r="W878" i="34"/>
  <c r="W890" i="34"/>
  <c r="W899" i="34"/>
  <c r="W975" i="34"/>
  <c r="W330" i="34"/>
  <c r="W334" i="34"/>
  <c r="W338" i="34"/>
  <c r="W342" i="34"/>
  <c r="W346" i="34"/>
  <c r="W350" i="34"/>
  <c r="W354" i="34"/>
  <c r="W358" i="34"/>
  <c r="W362" i="34"/>
  <c r="W366" i="34"/>
  <c r="W370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48" i="34"/>
  <c r="W452" i="34"/>
  <c r="W455" i="34"/>
  <c r="W459" i="34"/>
  <c r="W463" i="34"/>
  <c r="W467" i="34"/>
  <c r="W474" i="34"/>
  <c r="W478" i="34"/>
  <c r="W482" i="34"/>
  <c r="W486" i="34"/>
  <c r="W493" i="34"/>
  <c r="W497" i="34"/>
  <c r="W501" i="34"/>
  <c r="W505" i="34"/>
  <c r="W509" i="34"/>
  <c r="W513" i="34"/>
  <c r="W520" i="34"/>
  <c r="W524" i="34"/>
  <c r="W528" i="34"/>
  <c r="W532" i="34"/>
  <c r="W539" i="34"/>
  <c r="W543" i="34"/>
  <c r="W547" i="34"/>
  <c r="W551" i="34"/>
  <c r="W555" i="34"/>
  <c r="W566" i="34"/>
  <c r="W570" i="34"/>
  <c r="W576" i="34"/>
  <c r="W580" i="34"/>
  <c r="W586" i="34"/>
  <c r="W592" i="34"/>
  <c r="W596" i="34"/>
  <c r="W600" i="34"/>
  <c r="W604" i="34"/>
  <c r="W608" i="34"/>
  <c r="W716" i="34"/>
  <c r="W720" i="34"/>
  <c r="W762" i="34"/>
  <c r="W765" i="34"/>
  <c r="W770" i="34"/>
  <c r="W776" i="34"/>
  <c r="W828" i="34"/>
  <c r="W839" i="34"/>
  <c r="W877" i="34"/>
  <c r="W889" i="34"/>
  <c r="W898" i="34"/>
  <c r="W974" i="34"/>
  <c r="W329" i="34"/>
  <c r="W333" i="34"/>
  <c r="W337" i="34"/>
  <c r="W341" i="34"/>
  <c r="W345" i="34"/>
  <c r="W349" i="34"/>
  <c r="W353" i="34"/>
  <c r="W357" i="34"/>
  <c r="W361" i="34"/>
  <c r="W365" i="34"/>
  <c r="W369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47" i="34"/>
  <c r="W451" i="34"/>
  <c r="W458" i="34"/>
  <c r="W462" i="34"/>
  <c r="W466" i="34"/>
  <c r="W470" i="34"/>
  <c r="W473" i="34"/>
  <c r="W477" i="34"/>
  <c r="W481" i="34"/>
  <c r="W485" i="34"/>
  <c r="W492" i="34"/>
  <c r="W496" i="34"/>
  <c r="W500" i="34"/>
  <c r="W504" i="34"/>
  <c r="W508" i="34"/>
  <c r="W512" i="34"/>
  <c r="W519" i="34"/>
  <c r="W523" i="34"/>
  <c r="W527" i="34"/>
  <c r="W531" i="34"/>
  <c r="W535" i="34"/>
  <c r="W538" i="34"/>
  <c r="W542" i="34"/>
  <c r="W546" i="34"/>
  <c r="W550" i="34"/>
  <c r="W554" i="34"/>
  <c r="W563" i="34"/>
  <c r="W569" i="34"/>
  <c r="W575" i="34"/>
  <c r="W579" i="34"/>
  <c r="W583" i="34"/>
  <c r="W591" i="34"/>
  <c r="W595" i="34"/>
  <c r="W599" i="34"/>
  <c r="W603" i="34"/>
  <c r="W607" i="34"/>
  <c r="W715" i="34"/>
  <c r="W719" i="34"/>
  <c r="W761" i="34"/>
  <c r="W764" i="34"/>
  <c r="W769" i="34"/>
  <c r="W773" i="34"/>
  <c r="W779" i="34"/>
  <c r="W838" i="34"/>
  <c r="W870" i="34"/>
  <c r="W880" i="34"/>
  <c r="W897" i="34"/>
  <c r="W941" i="34"/>
  <c r="W977" i="34"/>
  <c r="W328" i="34"/>
  <c r="W332" i="34"/>
  <c r="W336" i="34"/>
  <c r="W340" i="34"/>
  <c r="W344" i="34"/>
  <c r="W348" i="34"/>
  <c r="W352" i="34"/>
  <c r="W356" i="34"/>
  <c r="W360" i="34"/>
  <c r="W364" i="34"/>
  <c r="W368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46" i="34"/>
  <c r="W450" i="34"/>
  <c r="W454" i="34"/>
  <c r="W457" i="34"/>
  <c r="W461" i="34"/>
  <c r="W465" i="34"/>
  <c r="W469" i="34"/>
  <c r="W472" i="34"/>
  <c r="W476" i="34"/>
  <c r="W480" i="34"/>
  <c r="W484" i="34"/>
  <c r="W491" i="34"/>
  <c r="W495" i="34"/>
  <c r="W499" i="34"/>
  <c r="W503" i="34"/>
  <c r="W507" i="34"/>
  <c r="W511" i="34"/>
  <c r="W515" i="34"/>
  <c r="W522" i="34"/>
  <c r="W526" i="34"/>
  <c r="W530" i="34"/>
  <c r="W534" i="34"/>
  <c r="W537" i="34"/>
  <c r="W541" i="34"/>
  <c r="W545" i="34"/>
  <c r="W549" i="34"/>
  <c r="W553" i="34"/>
  <c r="W562" i="34"/>
  <c r="W568" i="34"/>
  <c r="W574" i="34"/>
  <c r="W578" i="34"/>
  <c r="W582" i="34"/>
  <c r="W588" i="34"/>
  <c r="W590" i="34"/>
  <c r="W594" i="34"/>
  <c r="W598" i="34"/>
  <c r="W602" i="34"/>
  <c r="W606" i="34"/>
  <c r="W714" i="34"/>
  <c r="W718" i="34"/>
  <c r="W760" i="34"/>
  <c r="W763" i="34"/>
  <c r="W768" i="34"/>
  <c r="W772" i="34"/>
  <c r="W778" i="34"/>
  <c r="W837" i="34"/>
  <c r="W869" i="34"/>
  <c r="W879" i="34"/>
  <c r="W896" i="34"/>
  <c r="W940" i="34"/>
  <c r="W976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45" i="34"/>
  <c r="W449" i="34"/>
  <c r="W453" i="34"/>
  <c r="W456" i="34"/>
  <c r="W460" i="34"/>
  <c r="W464" i="34"/>
  <c r="W468" i="34"/>
  <c r="W471" i="34"/>
  <c r="W475" i="34"/>
  <c r="W479" i="34"/>
  <c r="W483" i="34"/>
  <c r="W487" i="34"/>
  <c r="W494" i="34"/>
  <c r="W498" i="34"/>
  <c r="W502" i="34"/>
  <c r="W506" i="34"/>
  <c r="W510" i="34"/>
  <c r="W514" i="34"/>
  <c r="W521" i="34"/>
  <c r="W525" i="34"/>
  <c r="W529" i="34"/>
  <c r="W533" i="34"/>
  <c r="W536" i="34"/>
  <c r="W540" i="34"/>
  <c r="W544" i="34"/>
  <c r="W548" i="34"/>
  <c r="W552" i="34"/>
  <c r="W556" i="34"/>
  <c r="W567" i="34"/>
  <c r="W573" i="34"/>
  <c r="W577" i="34"/>
  <c r="W581" i="34"/>
  <c r="W587" i="34"/>
  <c r="W589" i="34"/>
  <c r="W593" i="34"/>
  <c r="W597" i="34"/>
  <c r="W601" i="34"/>
  <c r="W605" i="34"/>
  <c r="W611" i="34"/>
  <c r="W615" i="34"/>
  <c r="W619" i="34"/>
  <c r="W623" i="34"/>
  <c r="W627" i="34"/>
  <c r="W631" i="34"/>
  <c r="W637" i="34"/>
  <c r="W641" i="34"/>
  <c r="W645" i="34"/>
  <c r="W649" i="34"/>
  <c r="W655" i="34"/>
  <c r="W659" i="34"/>
  <c r="W663" i="34"/>
  <c r="W673" i="34"/>
  <c r="W679" i="34"/>
  <c r="W683" i="34"/>
  <c r="W687" i="34"/>
  <c r="W697" i="34"/>
  <c r="W701" i="34"/>
  <c r="W705" i="34"/>
  <c r="W709" i="34"/>
  <c r="W724" i="34"/>
  <c r="W728" i="34"/>
  <c r="W734" i="34"/>
  <c r="W738" i="34"/>
  <c r="W742" i="34"/>
  <c r="W746" i="34"/>
  <c r="W752" i="34"/>
  <c r="W756" i="34"/>
  <c r="W774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2" i="34"/>
  <c r="W836" i="34"/>
  <c r="W844" i="34"/>
  <c r="W848" i="34"/>
  <c r="W852" i="34"/>
  <c r="W856" i="34"/>
  <c r="W860" i="34"/>
  <c r="W864" i="34"/>
  <c r="W868" i="34"/>
  <c r="W874" i="34"/>
  <c r="W882" i="34"/>
  <c r="W886" i="34"/>
  <c r="W892" i="34"/>
  <c r="W900" i="34"/>
  <c r="W904" i="34"/>
  <c r="W908" i="34"/>
  <c r="W912" i="34"/>
  <c r="W916" i="34"/>
  <c r="W920" i="34"/>
  <c r="W924" i="34"/>
  <c r="W928" i="34"/>
  <c r="W932" i="34"/>
  <c r="W936" i="34"/>
  <c r="W942" i="34"/>
  <c r="W946" i="34"/>
  <c r="W950" i="34"/>
  <c r="W954" i="34"/>
  <c r="W958" i="34"/>
  <c r="W962" i="34"/>
  <c r="W966" i="34"/>
  <c r="W970" i="34"/>
  <c r="W610" i="34"/>
  <c r="W614" i="34"/>
  <c r="W618" i="34"/>
  <c r="W622" i="34"/>
  <c r="W626" i="34"/>
  <c r="W630" i="34"/>
  <c r="W636" i="34"/>
  <c r="W640" i="34"/>
  <c r="W644" i="34"/>
  <c r="W648" i="34"/>
  <c r="W654" i="34"/>
  <c r="W658" i="34"/>
  <c r="W662" i="34"/>
  <c r="W670" i="34"/>
  <c r="W676" i="34"/>
  <c r="W682" i="34"/>
  <c r="W686" i="34"/>
  <c r="W688" i="34"/>
  <c r="W696" i="34"/>
  <c r="W700" i="34"/>
  <c r="W703" i="34"/>
  <c r="W708" i="34"/>
  <c r="W723" i="34"/>
  <c r="W727" i="34"/>
  <c r="W737" i="34"/>
  <c r="W741" i="34"/>
  <c r="W745" i="34"/>
  <c r="W751" i="34"/>
  <c r="W755" i="34"/>
  <c r="W759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31" i="34"/>
  <c r="W835" i="34"/>
  <c r="W843" i="34"/>
  <c r="W847" i="34"/>
  <c r="W851" i="34"/>
  <c r="W855" i="34"/>
  <c r="W859" i="34"/>
  <c r="W863" i="34"/>
  <c r="W867" i="34"/>
  <c r="W873" i="34"/>
  <c r="W881" i="34"/>
  <c r="W885" i="34"/>
  <c r="W891" i="34"/>
  <c r="W895" i="34"/>
  <c r="W903" i="34"/>
  <c r="W907" i="34"/>
  <c r="W911" i="34"/>
  <c r="W915" i="34"/>
  <c r="W919" i="34"/>
  <c r="W923" i="34"/>
  <c r="W927" i="34"/>
  <c r="W931" i="34"/>
  <c r="W935" i="34"/>
  <c r="W939" i="34"/>
  <c r="W945" i="34"/>
  <c r="W949" i="34"/>
  <c r="W953" i="34"/>
  <c r="W957" i="34"/>
  <c r="W961" i="34"/>
  <c r="W965" i="34"/>
  <c r="W969" i="34"/>
  <c r="W973" i="34"/>
  <c r="W609" i="34"/>
  <c r="W613" i="34"/>
  <c r="W617" i="34"/>
  <c r="W621" i="34"/>
  <c r="W625" i="34"/>
  <c r="W629" i="34"/>
  <c r="W633" i="34"/>
  <c r="W639" i="34"/>
  <c r="W643" i="34"/>
  <c r="W647" i="34"/>
  <c r="W653" i="34"/>
  <c r="W657" i="34"/>
  <c r="W661" i="34"/>
  <c r="W669" i="34"/>
  <c r="W675" i="34"/>
  <c r="W681" i="34"/>
  <c r="W685" i="34"/>
  <c r="W689" i="34"/>
  <c r="W699" i="34"/>
  <c r="W707" i="34"/>
  <c r="W722" i="34"/>
  <c r="W726" i="34"/>
  <c r="W730" i="34"/>
  <c r="W732" i="34"/>
  <c r="W733" i="34"/>
  <c r="W736" i="34"/>
  <c r="W740" i="34"/>
  <c r="W744" i="34"/>
  <c r="W750" i="34"/>
  <c r="W754" i="34"/>
  <c r="W758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30" i="34"/>
  <c r="W834" i="34"/>
  <c r="W842" i="34"/>
  <c r="W846" i="34"/>
  <c r="W850" i="34"/>
  <c r="W854" i="34"/>
  <c r="W858" i="34"/>
  <c r="W862" i="34"/>
  <c r="W866" i="34"/>
  <c r="W872" i="34"/>
  <c r="W876" i="34"/>
  <c r="W884" i="34"/>
  <c r="W888" i="34"/>
  <c r="W894" i="34"/>
  <c r="W902" i="34"/>
  <c r="W906" i="34"/>
  <c r="W910" i="34"/>
  <c r="W914" i="34"/>
  <c r="W918" i="34"/>
  <c r="W922" i="34"/>
  <c r="W926" i="34"/>
  <c r="W930" i="34"/>
  <c r="W934" i="34"/>
  <c r="W938" i="34"/>
  <c r="W944" i="34"/>
  <c r="W948" i="34"/>
  <c r="W952" i="34"/>
  <c r="W956" i="34"/>
  <c r="W960" i="34"/>
  <c r="W964" i="34"/>
  <c r="W968" i="34"/>
  <c r="W972" i="34"/>
  <c r="W612" i="34"/>
  <c r="W616" i="34"/>
  <c r="W620" i="34"/>
  <c r="W624" i="34"/>
  <c r="W628" i="34"/>
  <c r="W632" i="34"/>
  <c r="W638" i="34"/>
  <c r="W642" i="34"/>
  <c r="W646" i="34"/>
  <c r="W650" i="34"/>
  <c r="W656" i="34"/>
  <c r="W660" i="34"/>
  <c r="W668" i="34"/>
  <c r="W674" i="34"/>
  <c r="W680" i="34"/>
  <c r="W684" i="34"/>
  <c r="W698" i="34"/>
  <c r="W702" i="34"/>
  <c r="W706" i="34"/>
  <c r="W710" i="34"/>
  <c r="W725" i="34"/>
  <c r="W729" i="34"/>
  <c r="W731" i="34"/>
  <c r="W735" i="34"/>
  <c r="W739" i="34"/>
  <c r="W743" i="34"/>
  <c r="W747" i="34"/>
  <c r="W753" i="34"/>
  <c r="W757" i="34"/>
  <c r="W775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3" i="34"/>
  <c r="W841" i="34"/>
  <c r="W845" i="34"/>
  <c r="W849" i="34"/>
  <c r="W853" i="34"/>
  <c r="W857" i="34"/>
  <c r="W861" i="34"/>
  <c r="W865" i="34"/>
  <c r="W871" i="34"/>
  <c r="W875" i="34"/>
  <c r="W883" i="34"/>
  <c r="W887" i="34"/>
  <c r="W893" i="34"/>
  <c r="W901" i="34"/>
  <c r="W905" i="34"/>
  <c r="W909" i="34"/>
  <c r="W913" i="34"/>
  <c r="W917" i="34"/>
  <c r="W921" i="34"/>
  <c r="W925" i="34"/>
  <c r="W929" i="34"/>
  <c r="W933" i="34"/>
  <c r="W937" i="34"/>
  <c r="W943" i="34"/>
  <c r="W947" i="34"/>
  <c r="W951" i="34"/>
  <c r="W955" i="34"/>
  <c r="W959" i="34"/>
  <c r="W963" i="34"/>
  <c r="W967" i="34"/>
  <c r="W971" i="34"/>
  <c r="I31" i="55"/>
  <c r="W13" i="34"/>
  <c r="W11" i="34"/>
  <c r="W12" i="34"/>
  <c r="X12" i="34"/>
  <c r="X11" i="34"/>
  <c r="X1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5" i="54" s="1"/>
  <c r="L16" i="54" s="1"/>
  <c r="L18" i="54"/>
  <c r="L19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165" i="55"/>
  <c r="K24" i="55"/>
  <c r="K2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8" i="55"/>
  <c r="K13" i="55"/>
  <c r="G18" i="55"/>
  <c r="K12" i="55"/>
  <c r="K25" i="55"/>
  <c r="I13" i="61"/>
  <c r="I14" i="61" s="1"/>
  <c r="C13" i="61"/>
  <c r="C14" i="61" s="1"/>
  <c r="H48" i="57" l="1"/>
  <c r="A30" i="47"/>
  <c r="K217" i="55"/>
  <c r="K31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8" i="55"/>
  <c r="J17" i="57"/>
  <c r="H23" i="57"/>
  <c r="H16" i="57"/>
  <c r="H18" i="57"/>
  <c r="B13" i="61"/>
  <c r="G3" i="47" l="1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52" i="14"/>
  <c r="G32" i="43"/>
  <c r="G16" i="43"/>
  <c r="G31" i="43"/>
  <c r="G15" i="43"/>
  <c r="G14" i="43"/>
  <c r="G20" i="43"/>
  <c r="G13" i="43"/>
  <c r="G29" i="43"/>
  <c r="F12" i="43"/>
  <c r="H5" i="39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G3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6" i="43"/>
  <c r="F31" i="43"/>
  <c r="F40" i="43"/>
  <c r="F39" i="43"/>
  <c r="F35" i="43"/>
  <c r="G3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B16" i="43"/>
  <c r="B39" i="43"/>
  <c r="E32" i="43"/>
  <c r="E29" i="43"/>
  <c r="E26" i="43"/>
  <c r="D23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C39" i="43"/>
  <c r="B36" i="43"/>
  <c r="E31" i="43"/>
  <c r="C29" i="43"/>
  <c r="A27" i="43"/>
  <c r="B20" i="43"/>
  <c r="C13" i="43"/>
  <c r="C38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C18" i="43"/>
  <c r="C15" i="43"/>
  <c r="C12" i="43"/>
  <c r="C36" i="43"/>
  <c r="A24" i="43"/>
  <c r="D29" i="43"/>
  <c r="B17" i="43"/>
  <c r="A38" i="43"/>
  <c r="E35" i="43"/>
  <c r="C33" i="43"/>
  <c r="A31" i="43"/>
  <c r="D26" i="43"/>
  <c r="B24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B31" i="43"/>
  <c r="E24" i="43"/>
  <c r="D12" i="43"/>
  <c r="A21" i="43"/>
  <c r="A39" i="43"/>
  <c r="A28" i="43"/>
  <c r="D39" i="43"/>
  <c r="C26" i="43"/>
  <c r="B37" i="43"/>
  <c r="A25" i="43"/>
  <c r="B14" i="43"/>
  <c r="B34" i="43"/>
  <c r="A22" i="43"/>
  <c r="B33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A6" i="42" l="1"/>
  <c r="A68" i="42"/>
  <c r="I69" i="42"/>
  <c r="H27" i="56"/>
  <c r="I16" i="71"/>
  <c r="J16" i="71"/>
  <c r="J16" i="14"/>
  <c r="G92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29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6" i="71" s="1"/>
  <c r="I25" i="14"/>
  <c r="J25" i="14"/>
  <c r="H63" i="47"/>
  <c r="J26" i="71"/>
  <c r="I16" i="47"/>
  <c r="H16" i="47"/>
  <c r="J27" i="71" l="1"/>
  <c r="J26" i="14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I29" i="14" s="1"/>
  <c r="J29" i="71"/>
  <c r="I29" i="71"/>
  <c r="H19" i="47"/>
  <c r="I19" i="47"/>
  <c r="J29" i="14" l="1"/>
  <c r="J30" i="14" s="1"/>
  <c r="I30" i="71"/>
  <c r="J30" i="71"/>
  <c r="I20" i="47"/>
  <c r="H20" i="47"/>
  <c r="H21" i="47" l="1"/>
  <c r="I21" i="47"/>
  <c r="I30" i="14"/>
  <c r="I31" i="14" s="1"/>
  <c r="F38" i="43"/>
  <c r="F92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H32" i="47" s="1"/>
  <c r="I40" i="14"/>
  <c r="I41" i="14" s="1"/>
  <c r="I32" i="47" l="1"/>
  <c r="I33" i="47" s="1"/>
  <c r="J41" i="14"/>
  <c r="J42" i="14" s="1"/>
  <c r="H33" i="47" l="1"/>
  <c r="H34" i="47" s="1"/>
  <c r="I42" i="14"/>
  <c r="I43" i="14" s="1"/>
  <c r="I34" i="47" l="1"/>
  <c r="I35" i="47" s="1"/>
  <c r="J43" i="14"/>
  <c r="J44" i="14" s="1"/>
  <c r="H35" i="47" l="1"/>
  <c r="H36" i="47" s="1"/>
  <c r="I44" i="14"/>
  <c r="I45" i="14" s="1"/>
  <c r="I36" i="47" l="1"/>
  <c r="I37" i="47" s="1"/>
  <c r="J45" i="14"/>
  <c r="J46" i="14" s="1"/>
  <c r="H37" i="47" l="1"/>
  <c r="H38" i="47" s="1"/>
  <c r="I46" i="14"/>
  <c r="I47" i="14" s="1"/>
  <c r="I38" i="47" l="1"/>
  <c r="I39" i="47" s="1"/>
  <c r="J47" i="14"/>
  <c r="J48" i="14" s="1"/>
  <c r="H39" i="47" l="1"/>
  <c r="H40" i="47" s="1"/>
  <c r="I48" i="14"/>
  <c r="I49" i="14" s="1"/>
  <c r="I40" i="47" l="1"/>
  <c r="I41" i="47" s="1"/>
  <c r="J49" i="14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B20" i="55"/>
  <c r="A20" i="55" l="1"/>
  <c r="B21" i="55"/>
  <c r="B22" i="55" s="1"/>
  <c r="B23" i="55" s="1"/>
  <c r="B24" i="55" s="1"/>
  <c r="B25" i="55" s="1"/>
  <c r="I54" i="47"/>
  <c r="I55" i="47" s="1"/>
  <c r="B26" i="55" l="1"/>
  <c r="A25" i="55"/>
  <c r="A21" i="55"/>
  <c r="H55" i="47"/>
  <c r="H56" i="47" s="1"/>
  <c r="B27" i="55" l="1"/>
  <c r="B28" i="55" s="1"/>
  <c r="B29" i="55" s="1"/>
  <c r="A26" i="55"/>
  <c r="I56" i="47"/>
  <c r="I57" i="47" s="1"/>
  <c r="A22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K983" i="34" l="1"/>
  <c r="J71" i="55" a="1"/>
  <c r="J71" i="55" s="1"/>
  <c r="F54" i="15" a="1"/>
  <c r="F54" i="15" s="1"/>
  <c r="J64" i="55" a="1"/>
  <c r="J64" i="55" s="1"/>
  <c r="J93" i="55" a="1"/>
  <c r="J93" i="55" s="1"/>
  <c r="D13" i="39"/>
  <c r="J206" i="55" a="1"/>
  <c r="J206" i="55" s="1"/>
  <c r="J115" i="55" a="1"/>
  <c r="J115" i="55" s="1"/>
  <c r="J166" i="55" a="1"/>
  <c r="J166" i="55" s="1"/>
  <c r="F55" i="15" a="1"/>
  <c r="F55" i="15" s="1"/>
  <c r="F57" i="15" a="1"/>
  <c r="F57" i="15" s="1"/>
  <c r="J138" i="55" a="1"/>
  <c r="J138" i="55" s="1"/>
  <c r="J151" i="55" a="1"/>
  <c r="J151" i="55" s="1"/>
  <c r="J20" i="55" a="1"/>
  <c r="J20" i="55" s="1"/>
  <c r="J13" i="55" a="1"/>
  <c r="J13" i="55" s="1"/>
  <c r="J27" i="55" a="1"/>
  <c r="J27" i="55" s="1"/>
  <c r="J90" i="55" a="1"/>
  <c r="J90" i="55" s="1"/>
  <c r="J192" i="55" a="1"/>
  <c r="J192" i="55" s="1"/>
  <c r="J106" i="55" a="1"/>
  <c r="J106" i="55" s="1"/>
  <c r="F52" i="15" a="1"/>
  <c r="F52" i="15" s="1"/>
  <c r="J201" i="55" a="1"/>
  <c r="J201" i="55" s="1"/>
  <c r="J49" i="55" a="1"/>
  <c r="J49" i="55" s="1"/>
  <c r="J37" i="55" a="1"/>
  <c r="J37" i="55" s="1"/>
  <c r="J23" i="55" a="1"/>
  <c r="J23" i="55" s="1"/>
  <c r="J202" i="55" a="1"/>
  <c r="J202" i="55" s="1"/>
  <c r="J196" i="55" a="1"/>
  <c r="J196" i="55" s="1"/>
  <c r="J180" i="55" a="1"/>
  <c r="J180" i="55" s="1"/>
  <c r="J165" i="55" a="1"/>
  <c r="J165" i="55" s="1"/>
  <c r="J41" i="55" a="1"/>
  <c r="J41" i="55" s="1"/>
  <c r="J14" i="55" a="1"/>
  <c r="J14" i="55" s="1"/>
  <c r="J197" i="55" a="1"/>
  <c r="J197" i="55" s="1"/>
  <c r="J182" i="55" a="1"/>
  <c r="J182" i="55" s="1"/>
  <c r="J109" i="55" a="1"/>
  <c r="J109" i="55" s="1"/>
  <c r="J28" i="55" a="1"/>
  <c r="J28" i="55" s="1"/>
  <c r="J34" i="55" a="1"/>
  <c r="J34" i="55" s="1"/>
  <c r="J29" i="55" a="1"/>
  <c r="J29" i="55" s="1"/>
  <c r="J36" i="55" a="1"/>
  <c r="J36" i="55" s="1"/>
  <c r="J113" i="55" a="1"/>
  <c r="J113" i="55" s="1"/>
  <c r="J68" i="55" a="1"/>
  <c r="J68" i="55" s="1"/>
  <c r="J160" i="55" a="1"/>
  <c r="J160" i="55" s="1"/>
  <c r="J126" i="55" a="1"/>
  <c r="J126" i="55" s="1"/>
  <c r="J57" i="55" a="1"/>
  <c r="J57" i="55" s="1"/>
  <c r="J167" i="55" a="1"/>
  <c r="J167" i="55" s="1"/>
  <c r="J169" i="55" a="1"/>
  <c r="J169" i="55" s="1"/>
  <c r="J189" i="55" a="1"/>
  <c r="J189" i="55" s="1"/>
  <c r="J131" i="55" a="1"/>
  <c r="J131" i="55" s="1"/>
  <c r="J58" i="55" a="1"/>
  <c r="J58" i="55" s="1"/>
  <c r="J144" i="55" a="1"/>
  <c r="J144" i="55" s="1"/>
  <c r="J215" i="55" a="1"/>
  <c r="J215" i="55" s="1"/>
  <c r="J184" i="55" a="1"/>
  <c r="J184" i="55" s="1"/>
  <c r="J185" i="55" a="1"/>
  <c r="J185" i="55" s="1"/>
  <c r="J40" i="55" a="1"/>
  <c r="J40" i="55" s="1"/>
  <c r="J86" i="55" a="1"/>
  <c r="J86" i="55" s="1"/>
  <c r="J70" i="55" a="1"/>
  <c r="J70" i="55" s="1"/>
  <c r="J88" i="55" a="1"/>
  <c r="J88" i="55" s="1"/>
  <c r="J74" i="55" a="1"/>
  <c r="J74" i="55" s="1"/>
  <c r="J33" i="55" a="1"/>
  <c r="J33" i="55" s="1"/>
  <c r="J172" i="55" a="1"/>
  <c r="J172" i="55" s="1"/>
  <c r="J147" i="55" a="1"/>
  <c r="J147" i="55" s="1"/>
  <c r="J158" i="55" a="1"/>
  <c r="J158" i="55" s="1"/>
  <c r="J39" i="55" a="1"/>
  <c r="J39" i="55" s="1"/>
  <c r="J107" i="55" a="1"/>
  <c r="J107" i="55" s="1"/>
  <c r="J114" i="55" a="1"/>
  <c r="J114" i="55" s="1"/>
  <c r="J75" i="55" a="1"/>
  <c r="J75" i="55" s="1"/>
  <c r="J163" i="55" a="1"/>
  <c r="J163" i="55" s="1"/>
  <c r="J195" i="55" a="1"/>
  <c r="J195" i="55" s="1"/>
  <c r="J72" i="55" a="1"/>
  <c r="J72" i="55" s="1"/>
  <c r="J124" i="55" a="1"/>
  <c r="J124" i="55" s="1"/>
  <c r="J155" i="55" a="1"/>
  <c r="J155" i="55" s="1"/>
  <c r="J162" i="55" a="1"/>
  <c r="J162" i="55" s="1"/>
  <c r="J78" i="55" a="1"/>
  <c r="J78" i="55" s="1"/>
  <c r="J87" i="55" a="1"/>
  <c r="J87" i="55" s="1"/>
  <c r="J179" i="55" a="1"/>
  <c r="J179" i="55" s="1"/>
  <c r="H93" i="55" a="1"/>
  <c r="H93" i="55" s="1"/>
  <c r="L93" i="55" s="1"/>
  <c r="E54" i="15" a="1"/>
  <c r="E54" i="15" s="1"/>
  <c r="I54" i="15" s="1"/>
  <c r="H206" i="55" a="1"/>
  <c r="H206" i="55" s="1"/>
  <c r="J56" i="55" a="1"/>
  <c r="J56" i="55" s="1"/>
  <c r="J176" i="55" a="1"/>
  <c r="J176" i="55" s="1"/>
  <c r="E55" i="15" a="1"/>
  <c r="E55" i="15" s="1"/>
  <c r="H63" i="55" a="1"/>
  <c r="H63" i="55" s="1"/>
  <c r="F47" i="15" a="1"/>
  <c r="F47" i="15" s="1"/>
  <c r="F48" i="15" s="1"/>
  <c r="E51" i="15" a="1"/>
  <c r="E51" i="15" s="1"/>
  <c r="H62" i="55" a="1"/>
  <c r="H62" i="55" s="1"/>
  <c r="H140" i="55" a="1"/>
  <c r="H140" i="55" s="1"/>
  <c r="H22" i="55" a="1"/>
  <c r="H22" i="55" s="1"/>
  <c r="H166" i="55" a="1"/>
  <c r="H166" i="55" s="1"/>
  <c r="E53" i="15" a="1"/>
  <c r="E53" i="15" s="1"/>
  <c r="H103" i="55" a="1"/>
  <c r="H103" i="55" s="1"/>
  <c r="H207" i="55" a="1"/>
  <c r="H207" i="55" s="1"/>
  <c r="H170" i="55" a="1"/>
  <c r="H170" i="55" s="1"/>
  <c r="H200" i="55" a="1"/>
  <c r="H200" i="55" s="1"/>
  <c r="H126" i="55" a="1"/>
  <c r="H126" i="55" s="1"/>
  <c r="H202" i="55" a="1"/>
  <c r="H202" i="55" s="1"/>
  <c r="H196" i="55" a="1"/>
  <c r="H196" i="55" s="1"/>
  <c r="H43" i="55" a="1"/>
  <c r="H43" i="55" s="1"/>
  <c r="H139" i="55" a="1"/>
  <c r="H139" i="55" s="1"/>
  <c r="H162" i="55" a="1"/>
  <c r="H162" i="55" s="1"/>
  <c r="H73" i="55" a="1"/>
  <c r="H73" i="55" s="1"/>
  <c r="H71" i="55" a="1"/>
  <c r="H71" i="55" s="1"/>
  <c r="H64" i="55" a="1"/>
  <c r="H64" i="55" s="1"/>
  <c r="H118" i="55" a="1"/>
  <c r="H118" i="55" s="1"/>
  <c r="H153" i="55" a="1"/>
  <c r="H153" i="55" s="1"/>
  <c r="H151" i="55" a="1"/>
  <c r="H151" i="55" s="1"/>
  <c r="L151" i="55" s="1"/>
  <c r="H201" i="55" a="1"/>
  <c r="H201" i="55" s="1"/>
  <c r="L201" i="55" s="1"/>
  <c r="H42" i="55" a="1"/>
  <c r="H42" i="55" s="1"/>
  <c r="H81" i="55" a="1"/>
  <c r="H81" i="55" s="1"/>
  <c r="H154" i="55" a="1"/>
  <c r="H154" i="55" s="1"/>
  <c r="H28" i="55" a="1"/>
  <c r="H28" i="55" s="1"/>
  <c r="H169" i="55" a="1"/>
  <c r="H169" i="55" s="1"/>
  <c r="H49" i="55" a="1"/>
  <c r="H49" i="55" s="1"/>
  <c r="H124" i="55" a="1"/>
  <c r="H124" i="55" s="1"/>
  <c r="H70" i="55" a="1"/>
  <c r="H70" i="55" s="1"/>
  <c r="H195" i="55" a="1"/>
  <c r="H195" i="55" s="1"/>
  <c r="H115" i="55" a="1"/>
  <c r="H115" i="55" s="1"/>
  <c r="H211" i="55" a="1"/>
  <c r="H211" i="55" s="1"/>
  <c r="H98" i="55" a="1"/>
  <c r="H98" i="55" s="1"/>
  <c r="H21" i="55" a="1"/>
  <c r="H21" i="55" s="1"/>
  <c r="H164" i="55" a="1"/>
  <c r="H164" i="55" s="1"/>
  <c r="H136" i="55" a="1"/>
  <c r="H136" i="55" s="1"/>
  <c r="H59" i="55" a="1"/>
  <c r="H59" i="55" s="1"/>
  <c r="H35" i="55" a="1"/>
  <c r="H35" i="55" s="1"/>
  <c r="H23" i="55" a="1"/>
  <c r="H23" i="55" s="1"/>
  <c r="H61" i="55" a="1"/>
  <c r="H61" i="55" s="1"/>
  <c r="H47" i="55" a="1"/>
  <c r="H47" i="55" s="1"/>
  <c r="H34" i="55" a="1"/>
  <c r="H34" i="55" s="1"/>
  <c r="H90" i="55" a="1"/>
  <c r="H90" i="55" s="1"/>
  <c r="L90" i="55" s="1"/>
  <c r="H192" i="55" a="1"/>
  <c r="H192" i="55" s="1"/>
  <c r="H106" i="55" a="1"/>
  <c r="H106" i="55" s="1"/>
  <c r="E52" i="15" a="1"/>
  <c r="E52" i="15" s="1"/>
  <c r="H29" i="55" a="1"/>
  <c r="H29" i="55" s="1"/>
  <c r="H165" i="55" a="1"/>
  <c r="H165" i="55" s="1"/>
  <c r="H27" i="55" a="1"/>
  <c r="H27" i="55" s="1"/>
  <c r="H38" i="55" a="1"/>
  <c r="H38" i="55" s="1"/>
  <c r="H138" i="55" a="1"/>
  <c r="H138" i="55" s="1"/>
  <c r="H180" i="55" a="1"/>
  <c r="H180" i="55" s="1"/>
  <c r="H197" i="55" a="1"/>
  <c r="H197" i="55" s="1"/>
  <c r="H78" i="55" a="1"/>
  <c r="H78" i="55" s="1"/>
  <c r="H147" i="55" a="1"/>
  <c r="H147" i="55" s="1"/>
  <c r="H39" i="55" a="1"/>
  <c r="H39" i="55" s="1"/>
  <c r="H176" i="55" a="1"/>
  <c r="H176" i="55" s="1"/>
  <c r="H113" i="55" a="1"/>
  <c r="H113" i="55" s="1"/>
  <c r="H41" i="55" a="1"/>
  <c r="H41" i="55" s="1"/>
  <c r="L41" i="55" s="1"/>
  <c r="E32" i="15" a="1"/>
  <c r="E32" i="15" s="1"/>
  <c r="E7" i="12" a="1"/>
  <c r="E7" i="12" s="1"/>
  <c r="E28" i="15" a="1"/>
  <c r="E28" i="15" s="1"/>
  <c r="H24" i="55" a="1"/>
  <c r="H24" i="55" s="1"/>
  <c r="E49" i="15" a="1"/>
  <c r="E49" i="15" s="1"/>
  <c r="F8" i="12" a="1"/>
  <c r="F8" i="12" s="1"/>
  <c r="F22" i="15" a="1"/>
  <c r="F22" i="15" s="1"/>
  <c r="E31" i="15" a="1"/>
  <c r="E31" i="15" s="1"/>
  <c r="H155" i="55" a="1"/>
  <c r="H155" i="55" s="1"/>
  <c r="H109" i="55" a="1"/>
  <c r="H109" i="55" s="1"/>
  <c r="L109" i="55" s="1"/>
  <c r="H87" i="55" a="1"/>
  <c r="H87" i="55" s="1"/>
  <c r="F37" i="15" a="1"/>
  <c r="F37" i="15" s="1"/>
  <c r="E9" i="12" a="1"/>
  <c r="E9" i="12" s="1"/>
  <c r="H144" i="55" a="1"/>
  <c r="H144" i="55" s="1"/>
  <c r="H160" i="55" a="1"/>
  <c r="H160" i="55" s="1"/>
  <c r="H163" i="55" a="1"/>
  <c r="H163" i="55" s="1"/>
  <c r="H75" i="55" a="1"/>
  <c r="H75" i="55" s="1"/>
  <c r="H107" i="55" a="1"/>
  <c r="H107" i="55" s="1"/>
  <c r="H182" i="55" a="1"/>
  <c r="H182" i="55" s="1"/>
  <c r="H13" i="55" a="1"/>
  <c r="H13" i="55" s="1"/>
  <c r="H14" i="55" a="1"/>
  <c r="H14" i="55" s="1"/>
  <c r="E50" i="15" a="1"/>
  <c r="E50" i="15" s="1"/>
  <c r="E56" i="15" a="1"/>
  <c r="E56" i="15" s="1"/>
  <c r="F28" i="15" a="1"/>
  <c r="F28" i="15" s="1"/>
  <c r="H57" i="55" a="1"/>
  <c r="H57" i="55" s="1"/>
  <c r="E22" i="15" a="1"/>
  <c r="E22" i="15" s="1"/>
  <c r="H74" i="55" a="1"/>
  <c r="H74" i="55" s="1"/>
  <c r="H68" i="55" a="1"/>
  <c r="H68" i="55" s="1"/>
  <c r="H114" i="55" a="1"/>
  <c r="H114" i="55" s="1"/>
  <c r="F19" i="15" a="1"/>
  <c r="F19" i="15" s="1"/>
  <c r="H58" i="55" a="1"/>
  <c r="H58" i="55" s="1"/>
  <c r="H72" i="55" a="1"/>
  <c r="H72" i="55" s="1"/>
  <c r="E35" i="15" a="1"/>
  <c r="E35" i="15" s="1"/>
  <c r="H37" i="55" a="1"/>
  <c r="H37" i="55" s="1"/>
  <c r="H40" i="55" a="1"/>
  <c r="H40" i="55" s="1"/>
  <c r="H86" i="55" a="1"/>
  <c r="H86" i="55" s="1"/>
  <c r="L86" i="55" s="1"/>
  <c r="E12" i="15" a="1"/>
  <c r="E12" i="15" s="1"/>
  <c r="F14" i="15" a="1"/>
  <c r="F14" i="15" s="1"/>
  <c r="F29" i="15" a="1"/>
  <c r="F29" i="15" s="1"/>
  <c r="E20" i="15" a="1"/>
  <c r="E20" i="15" s="1"/>
  <c r="H172" i="55" a="1"/>
  <c r="H172" i="55" s="1"/>
  <c r="H88" i="55" a="1"/>
  <c r="H88" i="55" s="1"/>
  <c r="H189" i="55" a="1"/>
  <c r="H189" i="55" s="1"/>
  <c r="E26" i="15" a="1"/>
  <c r="E26" i="15" s="1"/>
  <c r="E27" i="15" s="1"/>
  <c r="J25" i="55" a="1"/>
  <c r="J25" i="55" s="1"/>
  <c r="H185" i="55" a="1"/>
  <c r="H185" i="55" s="1"/>
  <c r="H179" i="55" a="1"/>
  <c r="H179" i="55" s="1"/>
  <c r="H184" i="55" a="1"/>
  <c r="H184" i="55" s="1"/>
  <c r="F30" i="15" a="1"/>
  <c r="F30" i="15" s="1"/>
  <c r="F45" i="15" a="1"/>
  <c r="F45" i="15" s="1"/>
  <c r="E47" i="15" a="1"/>
  <c r="E47" i="15" s="1"/>
  <c r="F42" i="15" a="1"/>
  <c r="F42" i="15" s="1"/>
  <c r="F6" i="12" a="1"/>
  <c r="F6" i="12" s="1"/>
  <c r="F10" i="15" a="1"/>
  <c r="F10" i="15" s="1"/>
  <c r="E30" i="15" a="1"/>
  <c r="E30" i="15" s="1"/>
  <c r="H51" i="55" a="1"/>
  <c r="H51" i="55" s="1"/>
  <c r="H167" i="55" a="1"/>
  <c r="H167" i="55" s="1"/>
  <c r="H36" i="55" a="1"/>
  <c r="H36" i="55" s="1"/>
  <c r="L36" i="55" s="1"/>
  <c r="E8" i="12" a="1"/>
  <c r="E8" i="12" s="1"/>
  <c r="E14" i="15" a="1"/>
  <c r="E14" i="15" s="1"/>
  <c r="E24" i="15" a="1"/>
  <c r="E24" i="15" s="1"/>
  <c r="E25" i="15" s="1"/>
  <c r="H158" i="55" a="1"/>
  <c r="H158" i="55" s="1"/>
  <c r="H215" i="55" a="1"/>
  <c r="H215" i="55" s="1"/>
  <c r="L215" i="55" s="1"/>
  <c r="F44" i="15" a="1"/>
  <c r="F44" i="15" s="1"/>
  <c r="E23" i="15" a="1"/>
  <c r="E23" i="15" s="1"/>
  <c r="F20" i="15" a="1"/>
  <c r="F20" i="15" s="1"/>
  <c r="E10" i="15" a="1"/>
  <c r="E10" i="15" s="1"/>
  <c r="H33" i="55" a="1"/>
  <c r="H33" i="55" s="1"/>
  <c r="E29" i="15" a="1"/>
  <c r="E29" i="15" s="1"/>
  <c r="F15" i="15" a="1"/>
  <c r="F15" i="15" s="1"/>
  <c r="E17" i="15" a="1"/>
  <c r="E17" i="15" s="1"/>
  <c r="E37" i="15" a="1"/>
  <c r="E37" i="15" s="1"/>
  <c r="H85" i="55" a="1"/>
  <c r="H85" i="55" s="1"/>
  <c r="F9" i="12" a="1"/>
  <c r="F9" i="12" s="1"/>
  <c r="F12" i="15" a="1"/>
  <c r="F12" i="15" s="1"/>
  <c r="F7" i="12" a="1"/>
  <c r="F7" i="12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31" i="55" a="1"/>
  <c r="H131" i="55" s="1"/>
  <c r="L131" i="55" s="1"/>
  <c r="H25" i="55" a="1"/>
  <c r="H25" i="55" s="1"/>
  <c r="E6" i="12" a="1"/>
  <c r="E6" i="12" s="1"/>
  <c r="E45" i="15" a="1"/>
  <c r="E45" i="15" s="1"/>
  <c r="E57" i="15" a="1"/>
  <c r="E57" i="15" s="1"/>
  <c r="H186" i="55" a="1"/>
  <c r="H186" i="55" s="1"/>
  <c r="F35" i="15" a="1"/>
  <c r="F35" i="15" s="1"/>
  <c r="H26" i="55" a="1"/>
  <c r="H26" i="55" s="1"/>
  <c r="F26" i="15" a="1"/>
  <c r="F26" i="15" s="1"/>
  <c r="F27" i="15" s="1"/>
  <c r="E44" i="15" a="1"/>
  <c r="E44" i="15" s="1"/>
  <c r="H122" i="55" a="1"/>
  <c r="H122" i="55" s="1"/>
  <c r="E19" i="70" l="1" a="1"/>
  <c r="E19" i="70" s="1"/>
  <c r="F19" i="70" a="1"/>
  <c r="F19" i="70" s="1"/>
  <c r="I57" i="15"/>
  <c r="L68" i="55"/>
  <c r="L167" i="55"/>
  <c r="L184" i="55"/>
  <c r="L57" i="55"/>
  <c r="L71" i="55"/>
  <c r="I55" i="15"/>
  <c r="L14" i="55"/>
  <c r="L182" i="55"/>
  <c r="L160" i="55"/>
  <c r="L165" i="55"/>
  <c r="L114" i="55"/>
  <c r="L37" i="55"/>
  <c r="L13" i="55"/>
  <c r="L106" i="55"/>
  <c r="L23" i="55"/>
  <c r="L115" i="55"/>
  <c r="L158" i="55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J16" i="55" a="1"/>
  <c r="J16" i="55" s="1"/>
  <c r="H15" i="55" a="1"/>
  <c r="H15" i="55" s="1"/>
  <c r="H16" i="55" a="1"/>
  <c r="H16" i="55" s="1"/>
  <c r="L196" i="55"/>
  <c r="F25" i="15"/>
  <c r="J89" i="55" a="1"/>
  <c r="J89" i="55" s="1"/>
  <c r="J44" i="55" a="1"/>
  <c r="J44" i="55" s="1"/>
  <c r="J99" i="55" a="1"/>
  <c r="J99" i="55" s="1"/>
  <c r="H92" i="55" a="1"/>
  <c r="H92" i="55" s="1"/>
  <c r="H133" i="55" a="1"/>
  <c r="H133" i="55" s="1"/>
  <c r="H134" i="55" a="1"/>
  <c r="H134" i="55" s="1"/>
  <c r="H60" i="55" a="1"/>
  <c r="H60" i="55" s="1"/>
  <c r="H102" i="55" a="1"/>
  <c r="H102" i="55" s="1"/>
  <c r="J133" i="55" a="1"/>
  <c r="J133" i="55" s="1"/>
  <c r="J134" i="55" a="1"/>
  <c r="J134" i="55" s="1"/>
  <c r="J60" i="55" a="1"/>
  <c r="J60" i="55" s="1"/>
  <c r="J102" i="55" a="1"/>
  <c r="J102" i="55" s="1"/>
  <c r="J125" i="55" a="1"/>
  <c r="J125" i="55" s="1"/>
  <c r="H96" i="55" a="1"/>
  <c r="H96" i="55" s="1"/>
  <c r="H121" i="55" a="1"/>
  <c r="H121" i="55" s="1"/>
  <c r="H146" i="55" a="1"/>
  <c r="H146" i="55" s="1"/>
  <c r="H53" i="55" a="1"/>
  <c r="H53" i="55" s="1"/>
  <c r="J193" i="55" a="1"/>
  <c r="J193" i="55" s="1"/>
  <c r="H50" i="55" a="1"/>
  <c r="H50" i="55" s="1"/>
  <c r="H52" i="55" a="1"/>
  <c r="H52" i="55" s="1"/>
  <c r="H161" i="55" a="1"/>
  <c r="H161" i="55" s="1"/>
  <c r="H79" i="55" a="1"/>
  <c r="H79" i="55" s="1"/>
  <c r="H95" i="55" a="1"/>
  <c r="H95" i="55" s="1"/>
  <c r="J161" i="55" a="1"/>
  <c r="J161" i="55" s="1"/>
  <c r="J92" i="55" a="1"/>
  <c r="J92" i="55" s="1"/>
  <c r="H193" i="55" a="1"/>
  <c r="H193" i="55" s="1"/>
  <c r="H208" i="55" a="1"/>
  <c r="H208" i="55" s="1"/>
  <c r="J208" i="55" a="1"/>
  <c r="J208" i="55" s="1"/>
  <c r="H65" i="55" a="1"/>
  <c r="H65" i="55" s="1"/>
  <c r="J67" i="55" a="1"/>
  <c r="J67" i="55" s="1"/>
  <c r="J69" i="55" a="1"/>
  <c r="J69" i="55" s="1"/>
  <c r="H142" i="55" a="1"/>
  <c r="H142" i="55" s="1"/>
  <c r="J143" i="55" a="1"/>
  <c r="J143" i="55" s="1"/>
  <c r="J121" i="55" a="1"/>
  <c r="J121" i="55" s="1"/>
  <c r="H143" i="55" a="1"/>
  <c r="H143" i="55" s="1"/>
  <c r="J96" i="55" a="1"/>
  <c r="J96" i="55" s="1"/>
  <c r="H157" i="55" a="1"/>
  <c r="H157" i="55" s="1"/>
  <c r="H213" i="55" a="1"/>
  <c r="H213" i="55" s="1"/>
  <c r="J55" i="55" a="1"/>
  <c r="J55" i="55" s="1"/>
  <c r="J191" i="55" a="1"/>
  <c r="J191" i="55" s="1"/>
  <c r="J77" i="55" a="1"/>
  <c r="J77" i="55" s="1"/>
  <c r="H190" i="55" a="1"/>
  <c r="H190" i="55" s="1"/>
  <c r="H188" i="55" a="1"/>
  <c r="H188" i="55" s="1"/>
  <c r="H99" i="55" a="1"/>
  <c r="H99" i="55" s="1"/>
  <c r="J188" i="55" a="1"/>
  <c r="J188" i="55" s="1"/>
  <c r="H174" i="55" a="1"/>
  <c r="H174" i="55" s="1"/>
  <c r="J76" i="55" a="1"/>
  <c r="J76" i="55" s="1"/>
  <c r="H194" i="55" a="1"/>
  <c r="H194" i="55" s="1"/>
  <c r="H104" i="55" a="1"/>
  <c r="H104" i="55" s="1"/>
  <c r="H82" i="55" a="1"/>
  <c r="H82" i="55" s="1"/>
  <c r="H108" i="55" a="1"/>
  <c r="H108" i="55" s="1"/>
  <c r="H168" i="55" a="1"/>
  <c r="H168" i="55" s="1"/>
  <c r="J157" i="55" a="1"/>
  <c r="J157" i="55" s="1"/>
  <c r="J213" i="55" a="1"/>
  <c r="J213" i="55" s="1"/>
  <c r="J203" i="55" a="1"/>
  <c r="J203" i="55" s="1"/>
  <c r="H76" i="55" a="1"/>
  <c r="H76" i="55" s="1"/>
  <c r="H173" i="55" a="1"/>
  <c r="H173" i="55" s="1"/>
  <c r="H128" i="55" a="1"/>
  <c r="H128" i="55" s="1"/>
  <c r="H156" i="55" a="1"/>
  <c r="H156" i="55" s="1"/>
  <c r="H69" i="55" a="1"/>
  <c r="H69" i="55" s="1"/>
  <c r="J173" i="55" a="1"/>
  <c r="J173" i="55" s="1"/>
  <c r="J128" i="55" a="1"/>
  <c r="J128" i="55" s="1"/>
  <c r="J177" i="55" a="1"/>
  <c r="J177" i="55" s="1"/>
  <c r="J190" i="55" a="1"/>
  <c r="J190" i="55" s="1"/>
  <c r="H97" i="55" a="1"/>
  <c r="H97" i="55" s="1"/>
  <c r="H141" i="55" a="1"/>
  <c r="H141" i="55" s="1"/>
  <c r="H105" i="55" a="1"/>
  <c r="H105" i="55" s="1"/>
  <c r="H45" i="55" a="1"/>
  <c r="H45" i="55" s="1"/>
  <c r="H150" i="55" a="1"/>
  <c r="H150" i="55" s="1"/>
  <c r="H127" i="55" a="1"/>
  <c r="H127" i="55" s="1"/>
  <c r="H84" i="55" a="1"/>
  <c r="H84" i="55" s="1"/>
  <c r="J45" i="55" a="1"/>
  <c r="J45" i="55" s="1"/>
  <c r="J150" i="55" a="1"/>
  <c r="J150" i="55" s="1"/>
  <c r="J127" i="55" a="1"/>
  <c r="J127" i="55" s="1"/>
  <c r="J50" i="55" a="1"/>
  <c r="J50" i="55" s="1"/>
  <c r="J52" i="55" a="1"/>
  <c r="J52" i="55" s="1"/>
  <c r="H132" i="55" a="1"/>
  <c r="H132" i="55" s="1"/>
  <c r="H198" i="55" a="1"/>
  <c r="H198" i="55" s="1"/>
  <c r="H159" i="55" a="1"/>
  <c r="H159" i="55" s="1"/>
  <c r="H101" i="55" a="1"/>
  <c r="H101" i="55" s="1"/>
  <c r="H129" i="55" a="1"/>
  <c r="H129" i="55" s="1"/>
  <c r="H48" i="55" a="1"/>
  <c r="H48" i="55" s="1"/>
  <c r="H123" i="55" a="1"/>
  <c r="H123" i="55" s="1"/>
  <c r="J101" i="55" a="1"/>
  <c r="J101" i="55" s="1"/>
  <c r="J129" i="55" a="1"/>
  <c r="J129" i="55" s="1"/>
  <c r="J48" i="55" a="1"/>
  <c r="J48" i="55" s="1"/>
  <c r="J183" i="55" a="1"/>
  <c r="J183" i="55" s="1"/>
  <c r="J204" i="55" a="1"/>
  <c r="J204" i="55" s="1"/>
  <c r="J174" i="55" a="1"/>
  <c r="J174" i="55" s="1"/>
  <c r="H125" i="55" a="1"/>
  <c r="H125" i="55" s="1"/>
  <c r="H100" i="55" a="1"/>
  <c r="H100" i="55" s="1"/>
  <c r="H91" i="55" a="1"/>
  <c r="H91" i="55" s="1"/>
  <c r="J100" i="55" a="1"/>
  <c r="J100" i="55" s="1"/>
  <c r="J97" i="55" a="1"/>
  <c r="J97" i="55" s="1"/>
  <c r="J141" i="55" a="1"/>
  <c r="J141" i="55" s="1"/>
  <c r="J105" i="55" a="1"/>
  <c r="J105" i="55" s="1"/>
  <c r="J210" i="55" a="1"/>
  <c r="J210" i="55" s="1"/>
  <c r="H183" i="55" a="1"/>
  <c r="H183" i="55" s="1"/>
  <c r="H204" i="55" a="1"/>
  <c r="H204" i="55" s="1"/>
  <c r="H214" i="55" a="1"/>
  <c r="H214" i="55" s="1"/>
  <c r="H210" i="55" a="1"/>
  <c r="H210" i="55" s="1"/>
  <c r="J132" i="55" a="1"/>
  <c r="J132" i="55" s="1"/>
  <c r="J198" i="55" a="1"/>
  <c r="J198" i="55" s="1"/>
  <c r="J159" i="55" a="1"/>
  <c r="J159" i="55" s="1"/>
  <c r="H54" i="55" a="1"/>
  <c r="H54" i="55" s="1"/>
  <c r="H187" i="55" a="1"/>
  <c r="H187" i="55" s="1"/>
  <c r="J54" i="55" a="1"/>
  <c r="J54" i="55" s="1"/>
  <c r="J194" i="55" a="1"/>
  <c r="J194" i="55" s="1"/>
  <c r="J104" i="55" a="1"/>
  <c r="J104" i="55" s="1"/>
  <c r="H89" i="55" a="1"/>
  <c r="H89" i="55" s="1"/>
  <c r="H44" i="55" a="1"/>
  <c r="H44" i="55" s="1"/>
  <c r="H149" i="55" a="1"/>
  <c r="H149" i="55" s="1"/>
  <c r="J149" i="55" a="1"/>
  <c r="J149" i="55" s="1"/>
  <c r="J199" i="55" a="1"/>
  <c r="J199" i="55" s="1"/>
  <c r="J94" i="55" a="1"/>
  <c r="J94" i="55" s="1"/>
  <c r="J65" i="55" a="1"/>
  <c r="J65" i="55" s="1"/>
  <c r="H55" i="55" a="1"/>
  <c r="H55" i="55" s="1"/>
  <c r="H191" i="55" a="1"/>
  <c r="H191" i="55" s="1"/>
  <c r="L191" i="55" s="1"/>
  <c r="H77" i="55" a="1"/>
  <c r="H77" i="55" s="1"/>
  <c r="H203" i="55" a="1"/>
  <c r="H203" i="55" s="1"/>
  <c r="H199" i="55" a="1"/>
  <c r="H199" i="55" s="1"/>
  <c r="H94" i="55" a="1"/>
  <c r="H94" i="55" s="1"/>
  <c r="H117" i="55" a="1"/>
  <c r="H117" i="55" s="1"/>
  <c r="H177" i="55" a="1"/>
  <c r="H177" i="55" s="1"/>
  <c r="H67" i="55" a="1"/>
  <c r="H67" i="55" s="1"/>
  <c r="H137" i="55" a="1"/>
  <c r="H137" i="55" s="1"/>
  <c r="J117" i="55" a="1"/>
  <c r="J117" i="55" s="1"/>
  <c r="J137" i="55" a="1"/>
  <c r="J137" i="55" s="1"/>
  <c r="J84" i="55" a="1"/>
  <c r="J84" i="55" s="1"/>
  <c r="J82" i="55" a="1"/>
  <c r="J82" i="55" s="1"/>
  <c r="J53" i="55" a="1"/>
  <c r="J53" i="55" s="1"/>
  <c r="J83" i="55" a="1"/>
  <c r="J83" i="55" s="1"/>
  <c r="J168" i="55" a="1"/>
  <c r="J168" i="55" s="1"/>
  <c r="J46" i="55" a="1"/>
  <c r="J46" i="55" s="1"/>
  <c r="J214" i="55" a="1"/>
  <c r="J214" i="55" s="1"/>
  <c r="J178" i="55" a="1"/>
  <c r="J178" i="55" s="1"/>
  <c r="J187" i="55" a="1"/>
  <c r="J187" i="55" s="1"/>
  <c r="J79" i="55" a="1"/>
  <c r="J79" i="55" s="1"/>
  <c r="J91" i="55" a="1"/>
  <c r="J91" i="55" s="1"/>
  <c r="H116" i="55" a="1"/>
  <c r="H116" i="55" s="1"/>
  <c r="J181" i="55" a="1"/>
  <c r="J181" i="55" s="1"/>
  <c r="J146" i="55" a="1"/>
  <c r="J146" i="55" s="1"/>
  <c r="H178" i="55" a="1"/>
  <c r="H178" i="55" s="1"/>
  <c r="J108" i="55" a="1"/>
  <c r="J108" i="55" s="1"/>
  <c r="J123" i="55" a="1"/>
  <c r="J123" i="55" s="1"/>
  <c r="H80" i="55" a="1"/>
  <c r="H80" i="55" s="1"/>
  <c r="J116" i="55" a="1"/>
  <c r="J116" i="55" s="1"/>
  <c r="H181" i="55" a="1"/>
  <c r="H181" i="55" s="1"/>
  <c r="J142" i="55" a="1"/>
  <c r="J142" i="55" s="1"/>
  <c r="J156" i="55" a="1"/>
  <c r="J156" i="55" s="1"/>
  <c r="H83" i="55" a="1"/>
  <c r="H83" i="55" s="1"/>
  <c r="J95" i="55" a="1"/>
  <c r="J95" i="55" s="1"/>
  <c r="H46" i="55" a="1"/>
  <c r="H46" i="55" s="1"/>
  <c r="J80" i="55" a="1"/>
  <c r="J80" i="55" s="1"/>
  <c r="J110" i="55" a="1"/>
  <c r="J110" i="55" s="1"/>
  <c r="H152" i="55" a="1"/>
  <c r="H152" i="55" s="1"/>
  <c r="H111" i="55" a="1"/>
  <c r="H111" i="55" s="1"/>
  <c r="H135" i="55" a="1"/>
  <c r="H135" i="55" s="1"/>
  <c r="J209" i="55" a="1"/>
  <c r="J209" i="55" s="1"/>
  <c r="J148" i="55" a="1"/>
  <c r="J148" i="55" s="1"/>
  <c r="J135" i="55" a="1"/>
  <c r="J135" i="55" s="1"/>
  <c r="J130" i="55" a="1"/>
  <c r="J130" i="55" s="1"/>
  <c r="H145" i="55" a="1"/>
  <c r="H145" i="55" s="1"/>
  <c r="H120" i="55" a="1"/>
  <c r="H120" i="55" s="1"/>
  <c r="H110" i="55" a="1"/>
  <c r="H110" i="55" s="1"/>
  <c r="H130" i="55" a="1"/>
  <c r="H130" i="55" s="1"/>
  <c r="J111" i="55" a="1"/>
  <c r="J111" i="55" s="1"/>
  <c r="J112" i="55" a="1"/>
  <c r="J112" i="55" s="1"/>
  <c r="J171" i="55" a="1"/>
  <c r="J171" i="55" s="1"/>
  <c r="J119" i="55" a="1"/>
  <c r="J119" i="55" s="1"/>
  <c r="J152" i="55" a="1"/>
  <c r="J152" i="55" s="1"/>
  <c r="H212" i="55" a="1"/>
  <c r="H212" i="55" s="1"/>
  <c r="J212" i="55" a="1"/>
  <c r="J212" i="55" s="1"/>
  <c r="H112" i="55" a="1"/>
  <c r="H112" i="55" s="1"/>
  <c r="J120" i="55" a="1"/>
  <c r="J120" i="55" s="1"/>
  <c r="H148" i="55" a="1"/>
  <c r="H148" i="55" s="1"/>
  <c r="H209" i="55" a="1"/>
  <c r="H209" i="55" s="1"/>
  <c r="H119" i="55" a="1"/>
  <c r="H119" i="55" s="1"/>
  <c r="J66" i="55" a="1"/>
  <c r="J66" i="55" s="1"/>
  <c r="H66" i="55" a="1"/>
  <c r="H66" i="55" s="1"/>
  <c r="H171" i="55" a="1"/>
  <c r="H171" i="55" s="1"/>
  <c r="H205" i="55" a="1"/>
  <c r="H205" i="55" s="1"/>
  <c r="J205" i="55" a="1"/>
  <c r="J205" i="55" s="1"/>
  <c r="J175" i="55" a="1"/>
  <c r="J175" i="55" s="1"/>
  <c r="H175" i="55" a="1"/>
  <c r="H175" i="55" s="1"/>
  <c r="J145" i="55" a="1"/>
  <c r="J145" i="55" s="1"/>
  <c r="L197" i="55"/>
  <c r="L166" i="55"/>
  <c r="L144" i="55"/>
  <c r="L39" i="55"/>
  <c r="L126" i="55"/>
  <c r="L58" i="55"/>
  <c r="L88" i="55"/>
  <c r="L107" i="55"/>
  <c r="L27" i="55"/>
  <c r="I52" i="15"/>
  <c r="L49" i="55"/>
  <c r="L64" i="55"/>
  <c r="L155" i="55"/>
  <c r="L138" i="55"/>
  <c r="L87" i="55"/>
  <c r="L28" i="55"/>
  <c r="L163" i="55"/>
  <c r="L72" i="55"/>
  <c r="L75" i="55"/>
  <c r="L169" i="55"/>
  <c r="J186" i="55" a="1"/>
  <c r="J186" i="55" s="1"/>
  <c r="L186" i="55" s="1"/>
  <c r="J211" i="55" a="1"/>
  <c r="J211" i="55" s="1"/>
  <c r="L211" i="55" s="1"/>
  <c r="J139" i="55" a="1"/>
  <c r="J139" i="55" s="1"/>
  <c r="L139" i="55" s="1"/>
  <c r="J43" i="55" a="1"/>
  <c r="J43" i="55" s="1"/>
  <c r="L43" i="55" s="1"/>
  <c r="J24" i="55" a="1"/>
  <c r="J24" i="55" s="1"/>
  <c r="L24" i="55" s="1"/>
  <c r="J51" i="55" a="1"/>
  <c r="J51" i="55" s="1"/>
  <c r="L51" i="55" s="1"/>
  <c r="L78" i="55"/>
  <c r="L40" i="55"/>
  <c r="L29" i="55"/>
  <c r="L202" i="55"/>
  <c r="L147" i="55"/>
  <c r="L70" i="55"/>
  <c r="L195" i="55"/>
  <c r="L113" i="55"/>
  <c r="L180" i="55"/>
  <c r="L34" i="55"/>
  <c r="L206" i="55"/>
  <c r="L179" i="55"/>
  <c r="L189" i="55"/>
  <c r="L172" i="55"/>
  <c r="L33" i="55"/>
  <c r="L185" i="55"/>
  <c r="L74" i="55"/>
  <c r="L176" i="55"/>
  <c r="L192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L124" i="55"/>
  <c r="L162" i="55"/>
  <c r="H7" i="12"/>
  <c r="G8" i="12"/>
  <c r="G22" i="15"/>
  <c r="H24" i="15"/>
  <c r="H44" i="15"/>
  <c r="J26" i="55" a="1"/>
  <c r="J26" i="55" s="1"/>
  <c r="L26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7" i="15"/>
  <c r="E48" i="15"/>
  <c r="I48" i="15" s="1"/>
  <c r="H29" i="15"/>
  <c r="E13" i="15"/>
  <c r="G12" i="15"/>
  <c r="G13" i="15" s="1"/>
  <c r="G35" i="15"/>
  <c r="E36" i="15"/>
  <c r="F38" i="15"/>
  <c r="H37" i="15"/>
  <c r="H38" i="15" s="1"/>
  <c r="G31" i="15"/>
  <c r="J63" i="55" a="1"/>
  <c r="J63" i="55" s="1"/>
  <c r="L63" i="55" s="1"/>
  <c r="J38" i="55" a="1"/>
  <c r="J38" i="55" s="1"/>
  <c r="L38" i="55" s="1"/>
  <c r="J122" i="55" a="1"/>
  <c r="J122" i="55" s="1"/>
  <c r="L122" i="55" s="1"/>
  <c r="J62" i="55" a="1"/>
  <c r="J62" i="55" s="1"/>
  <c r="L62" i="55" s="1"/>
  <c r="J73" i="55" a="1"/>
  <c r="J73" i="55" s="1"/>
  <c r="L73" i="55" s="1"/>
  <c r="J170" i="55" a="1"/>
  <c r="J170" i="55" s="1"/>
  <c r="L170" i="55" s="1"/>
  <c r="J200" i="55" a="1"/>
  <c r="J200" i="55" s="1"/>
  <c r="L200" i="55" s="1"/>
  <c r="F50" i="15" a="1"/>
  <c r="F50" i="15" s="1"/>
  <c r="I50" i="15" s="1"/>
  <c r="J140" i="55" a="1"/>
  <c r="J140" i="55" s="1"/>
  <c r="L140" i="55" s="1"/>
  <c r="J21" i="55" a="1"/>
  <c r="J21" i="55" s="1"/>
  <c r="L21" i="55" s="1"/>
  <c r="J81" i="55" a="1"/>
  <c r="J81" i="55" s="1"/>
  <c r="L81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8" i="55" a="1"/>
  <c r="J118" i="55" s="1"/>
  <c r="L118" i="55" s="1"/>
  <c r="F51" i="15" a="1"/>
  <c r="F51" i="15" s="1"/>
  <c r="I51" i="15" s="1"/>
  <c r="J59" i="55" a="1"/>
  <c r="J59" i="55" s="1"/>
  <c r="L59" i="55" s="1"/>
  <c r="J207" i="55" a="1"/>
  <c r="J207" i="55" s="1"/>
  <c r="L207" i="55" s="1"/>
  <c r="J85" i="55" a="1"/>
  <c r="J85" i="55" s="1"/>
  <c r="L85" i="55" s="1"/>
  <c r="J154" i="55" a="1"/>
  <c r="J154" i="55" s="1"/>
  <c r="L154" i="55" s="1"/>
  <c r="L25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153" i="55" a="1"/>
  <c r="J153" i="55" s="1"/>
  <c r="J98" i="55" a="1"/>
  <c r="J98" i="55" s="1"/>
  <c r="L98" i="55" s="1"/>
  <c r="J22" i="55" a="1"/>
  <c r="J22" i="55" s="1"/>
  <c r="L22" i="55" s="1"/>
  <c r="F53" i="15" a="1"/>
  <c r="F53" i="15" s="1"/>
  <c r="I53" i="15" s="1"/>
  <c r="J103" i="55" a="1"/>
  <c r="J103" i="55" s="1"/>
  <c r="L103" i="55" s="1"/>
  <c r="F56" i="15" a="1"/>
  <c r="F56" i="15" s="1"/>
  <c r="I56" i="15" s="1"/>
  <c r="J47" i="55" a="1"/>
  <c r="J47" i="55" s="1"/>
  <c r="L47" i="55" s="1"/>
  <c r="J164" i="55" a="1"/>
  <c r="J164" i="55" s="1"/>
  <c r="L164" i="55" s="1"/>
  <c r="F49" i="15" a="1"/>
  <c r="F49" i="15" s="1"/>
  <c r="I49" i="15" s="1"/>
  <c r="J42" i="55" a="1"/>
  <c r="J42" i="55" s="1"/>
  <c r="L42" i="55" s="1"/>
  <c r="H26" i="15"/>
  <c r="H27" i="15" s="1"/>
  <c r="H23" i="15"/>
  <c r="G44" i="15"/>
  <c r="F33" i="15"/>
  <c r="F34" i="15" s="1"/>
  <c r="H32" i="15"/>
  <c r="H33" i="15" s="1"/>
  <c r="G17" i="15"/>
  <c r="E18" i="15"/>
  <c r="G23" i="15"/>
  <c r="G30" i="15"/>
  <c r="H42" i="15"/>
  <c r="F43" i="15"/>
  <c r="G20" i="15"/>
  <c r="H14" i="15"/>
  <c r="H28" i="15"/>
  <c r="G9" i="12"/>
  <c r="G7" i="12"/>
  <c r="H56" i="55" a="1"/>
  <c r="H56" i="55" s="1"/>
  <c r="L56" i="55" s="1"/>
  <c r="J12" i="55" a="1"/>
  <c r="J12" i="55" s="1"/>
  <c r="J18" i="55" s="1"/>
  <c r="J19" i="55" s="1"/>
  <c r="H20" i="55" a="1"/>
  <c r="H20" i="55" s="1"/>
  <c r="J35" i="55" a="1"/>
  <c r="J35" i="55" s="1"/>
  <c r="L35" i="55" s="1"/>
  <c r="J61" i="55" a="1"/>
  <c r="J61" i="55" s="1"/>
  <c r="L61" i="55" s="1"/>
  <c r="J136" i="55" a="1"/>
  <c r="J136" i="55" s="1"/>
  <c r="L136" i="55" s="1"/>
  <c r="H14" i="70" l="1"/>
  <c r="L44" i="55"/>
  <c r="H19" i="70"/>
  <c r="G19" i="70"/>
  <c r="L77" i="55"/>
  <c r="L89" i="55"/>
  <c r="L125" i="55"/>
  <c r="L67" i="55"/>
  <c r="I10" i="79"/>
  <c r="L203" i="55"/>
  <c r="L99" i="55"/>
  <c r="H18" i="55"/>
  <c r="H19" i="55" s="1"/>
  <c r="H7" i="79"/>
  <c r="L55" i="55"/>
  <c r="L181" i="55"/>
  <c r="L177" i="55"/>
  <c r="I8" i="79"/>
  <c r="E11" i="12"/>
  <c r="E12" i="12" s="1"/>
  <c r="L110" i="55"/>
  <c r="H9" i="79"/>
  <c r="H5" i="79"/>
  <c r="L69" i="55"/>
  <c r="L15" i="55"/>
  <c r="G40" i="15"/>
  <c r="G39" i="15"/>
  <c r="E41" i="15"/>
  <c r="H39" i="15"/>
  <c r="F41" i="15"/>
  <c r="H40" i="15"/>
  <c r="H6" i="79"/>
  <c r="I7" i="79"/>
  <c r="I6" i="79"/>
  <c r="H8" i="79"/>
  <c r="H10" i="79"/>
  <c r="I9" i="79"/>
  <c r="I5" i="79"/>
  <c r="I4" i="79"/>
  <c r="G12" i="79"/>
  <c r="H4" i="79"/>
  <c r="F12" i="79"/>
  <c r="L16" i="55"/>
  <c r="L148" i="55"/>
  <c r="L83" i="55"/>
  <c r="L76" i="55"/>
  <c r="L193" i="55"/>
  <c r="E58" i="15"/>
  <c r="F58" i="15"/>
  <c r="L204" i="55"/>
  <c r="G25" i="15"/>
  <c r="H25" i="15"/>
  <c r="F11" i="12"/>
  <c r="F12" i="12" s="1"/>
  <c r="L116" i="55"/>
  <c r="L94" i="55"/>
  <c r="L46" i="55"/>
  <c r="G10" i="70"/>
  <c r="L80" i="55"/>
  <c r="L178" i="55"/>
  <c r="L137" i="55"/>
  <c r="L214" i="55"/>
  <c r="L91" i="55"/>
  <c r="L159" i="55"/>
  <c r="L132" i="55"/>
  <c r="L150" i="55"/>
  <c r="L141" i="55"/>
  <c r="L156" i="55"/>
  <c r="L128" i="55"/>
  <c r="L108" i="55"/>
  <c r="L174" i="55"/>
  <c r="L65" i="55"/>
  <c r="L50" i="55"/>
  <c r="L121" i="55"/>
  <c r="L96" i="55"/>
  <c r="L133" i="55"/>
  <c r="L117" i="55"/>
  <c r="L187" i="55"/>
  <c r="L54" i="55"/>
  <c r="L48" i="55"/>
  <c r="L198" i="55"/>
  <c r="L97" i="55"/>
  <c r="L173" i="55"/>
  <c r="L82" i="55"/>
  <c r="L194" i="55"/>
  <c r="L208" i="55"/>
  <c r="L95" i="55"/>
  <c r="L92" i="55"/>
  <c r="L149" i="55"/>
  <c r="L100" i="55"/>
  <c r="L123" i="55"/>
  <c r="L129" i="55"/>
  <c r="L84" i="55"/>
  <c r="L188" i="55"/>
  <c r="L213" i="55"/>
  <c r="L161" i="55"/>
  <c r="L53" i="55"/>
  <c r="L60" i="55"/>
  <c r="L119" i="55"/>
  <c r="L199" i="55"/>
  <c r="L210" i="55"/>
  <c r="L183" i="55"/>
  <c r="L101" i="55"/>
  <c r="L127" i="55"/>
  <c r="L45" i="55"/>
  <c r="L105" i="55"/>
  <c r="L168" i="55"/>
  <c r="L104" i="55"/>
  <c r="L190" i="55"/>
  <c r="L157" i="55"/>
  <c r="L143" i="55"/>
  <c r="L142" i="55"/>
  <c r="L79" i="55"/>
  <c r="L52" i="55"/>
  <c r="L146" i="55"/>
  <c r="L102" i="55"/>
  <c r="L134" i="55"/>
  <c r="H217" i="55"/>
  <c r="H218" i="55" s="1"/>
  <c r="L112" i="55"/>
  <c r="L130" i="55"/>
  <c r="L175" i="55"/>
  <c r="L171" i="55"/>
  <c r="G12" i="70"/>
  <c r="H9" i="70"/>
  <c r="L66" i="55"/>
  <c r="L120" i="55"/>
  <c r="L209" i="55"/>
  <c r="L111" i="55"/>
  <c r="L212" i="55"/>
  <c r="L205" i="55"/>
  <c r="L145" i="55"/>
  <c r="L135" i="55"/>
  <c r="L152" i="55"/>
  <c r="L153" i="55"/>
  <c r="J217" i="55"/>
  <c r="J218" i="55" s="1"/>
  <c r="L20" i="55"/>
  <c r="H31" i="55"/>
  <c r="H32" i="55" s="1"/>
  <c r="J31" i="55"/>
  <c r="J32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3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30" i="70"/>
  <c r="E31" i="70" s="1"/>
  <c r="G18" i="15"/>
  <c r="G34" i="15"/>
  <c r="G21" i="15"/>
  <c r="F30" i="70"/>
  <c r="F31" i="70" s="1"/>
  <c r="H10" i="70"/>
  <c r="H18" i="15"/>
  <c r="G16" i="15"/>
  <c r="H34" i="15"/>
  <c r="G43" i="15"/>
  <c r="G46" i="15"/>
  <c r="L12" i="55"/>
  <c r="H46" i="15"/>
  <c r="J45" i="15"/>
  <c r="G36" i="15"/>
  <c r="L18" i="55" l="1"/>
  <c r="L19" i="55" s="1"/>
  <c r="G41" i="15"/>
  <c r="H41" i="15"/>
  <c r="I12" i="79"/>
  <c r="H12" i="79"/>
  <c r="H58" i="15"/>
  <c r="G58" i="15"/>
  <c r="L217" i="55"/>
  <c r="L218" i="55" s="1"/>
  <c r="H11" i="12"/>
  <c r="G11" i="12"/>
  <c r="L31" i="55"/>
  <c r="L32" i="55" s="1"/>
  <c r="G30" i="70"/>
  <c r="G31" i="70" s="1"/>
  <c r="H30" i="70"/>
  <c r="H12" i="12" l="1"/>
  <c r="H60" i="15"/>
  <c r="A29" i="55"/>
  <c r="A24" i="55"/>
  <c r="A27" i="55"/>
  <c r="A28" i="55"/>
  <c r="A23" i="55"/>
  <c r="B33" i="55" l="1"/>
  <c r="B34" i="55" s="1"/>
  <c r="A34" i="55" l="1"/>
  <c r="B35" i="55"/>
  <c r="A33" i="55"/>
  <c r="B36" i="55" l="1"/>
  <c r="A35" i="55"/>
  <c r="A36" i="55" l="1"/>
  <c r="B37" i="55"/>
  <c r="B38" i="55" l="1"/>
  <c r="A37" i="55"/>
  <c r="A38" i="55" l="1"/>
  <c r="B39" i="55"/>
  <c r="B40" i="55" l="1"/>
  <c r="A39" i="55"/>
  <c r="B41" i="55" l="1"/>
  <c r="A40" i="55"/>
  <c r="A41" i="55" l="1"/>
  <c r="B42" i="55"/>
  <c r="B43" i="55" l="1"/>
  <c r="A42" i="55"/>
  <c r="A43" i="55" l="1"/>
  <c r="B44" i="55" l="1"/>
  <c r="B45" i="55" s="1"/>
  <c r="B46" i="55" l="1"/>
  <c r="A45" i="55"/>
  <c r="A44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B61" i="55" l="1"/>
  <c r="A60" i="55"/>
  <c r="B62" i="55" l="1"/>
  <c r="A61" i="55"/>
  <c r="A62" i="55" l="1"/>
  <c r="B63" i="55"/>
  <c r="A63" i="55" l="1"/>
  <c r="B64" i="55"/>
  <c r="A64" i="55" l="1"/>
  <c r="B65" i="55"/>
  <c r="B66" i="55" l="1"/>
  <c r="A65" i="55"/>
  <c r="A66" i="55" l="1"/>
  <c r="B67" i="55"/>
  <c r="A67" i="55" s="1"/>
  <c r="B68" i="55" l="1"/>
  <c r="A68" i="55" l="1"/>
  <c r="B69" i="55"/>
  <c r="B70" i="55" l="1"/>
  <c r="A69" i="55"/>
  <c r="B71" i="55" l="1"/>
  <c r="A70" i="55"/>
  <c r="B72" i="55" l="1"/>
  <c r="A71" i="55"/>
  <c r="A72" i="55" l="1"/>
  <c r="B73" i="55"/>
  <c r="B74" i="55" l="1"/>
  <c r="A73" i="55"/>
  <c r="B75" i="55" l="1"/>
  <c r="A75" i="55" s="1"/>
  <c r="A74" i="55"/>
  <c r="B76" i="55" l="1"/>
  <c r="B77" i="55" s="1"/>
  <c r="B78" i="55" l="1"/>
  <c r="A77" i="55"/>
  <c r="A76" i="55"/>
  <c r="A78" i="55" l="1"/>
  <c r="B79" i="55"/>
  <c r="A79" i="55" l="1"/>
  <c r="B80" i="55"/>
  <c r="B81" i="55" l="1"/>
  <c r="A80" i="55"/>
  <c r="A81" i="55" l="1"/>
  <c r="B82" i="55"/>
  <c r="A82" i="55" l="1"/>
  <c r="B83" i="55"/>
  <c r="B84" i="55" l="1"/>
  <c r="B85" i="55" s="1"/>
  <c r="A83" i="55"/>
  <c r="A85" i="55" l="1"/>
  <c r="B86" i="55"/>
  <c r="A84" i="55"/>
  <c r="B87" i="55" l="1"/>
  <c r="A86" i="55"/>
  <c r="A87" i="55" l="1"/>
  <c r="B88" i="55"/>
  <c r="B89" i="55" l="1"/>
  <c r="A88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B97" i="55" l="1"/>
  <c r="A96" i="55"/>
  <c r="B98" i="55" l="1"/>
  <c r="A97" i="55"/>
  <c r="A98" i="55" l="1"/>
  <c r="B99" i="55"/>
  <c r="A99" i="55" l="1"/>
  <c r="B100" i="55"/>
  <c r="A100" i="55" l="1"/>
  <c r="B101" i="55"/>
  <c r="B102" i="55" l="1"/>
  <c r="A101" i="55"/>
  <c r="A102" i="55" l="1"/>
  <c r="B103" i="55"/>
  <c r="A103" i="55" l="1"/>
  <c r="B104" i="55"/>
  <c r="B105" i="55" l="1"/>
  <c r="A104" i="55"/>
  <c r="B106" i="55" l="1"/>
  <c r="A105" i="55"/>
  <c r="A106" i="55" l="1"/>
  <c r="B107" i="55"/>
  <c r="A107" i="55" l="1"/>
  <c r="B108" i="55"/>
  <c r="B109" i="55" l="1"/>
  <c r="A108" i="55"/>
  <c r="A109" i="55" l="1"/>
  <c r="B110" i="55"/>
  <c r="B111" i="55" l="1"/>
  <c r="A110" i="55"/>
  <c r="A111" i="55" l="1"/>
  <c r="B112" i="55"/>
  <c r="B113" i="55" l="1"/>
  <c r="A112" i="55"/>
  <c r="B114" i="55" l="1"/>
  <c r="A113" i="55"/>
  <c r="B115" i="55" l="1"/>
  <c r="A114" i="55"/>
  <c r="A115" i="55" l="1"/>
  <c r="B116" i="55"/>
  <c r="A116" i="55" l="1"/>
  <c r="B117" i="55"/>
  <c r="B118" i="55" l="1"/>
  <c r="A117" i="55"/>
  <c r="A118" i="55" l="1"/>
  <c r="B119" i="55"/>
  <c r="A119" i="55" l="1"/>
  <c r="B120" i="55"/>
  <c r="A120" i="55" l="1"/>
  <c r="B121" i="55"/>
  <c r="B122" i="55" l="1"/>
  <c r="A121" i="55"/>
  <c r="A122" i="55" l="1"/>
  <c r="B123" i="55"/>
  <c r="B124" i="55" l="1"/>
  <c r="A123" i="55"/>
  <c r="A124" i="55" l="1"/>
  <c r="B125" i="55"/>
  <c r="B126" i="55" l="1"/>
  <c r="A125" i="55"/>
  <c r="A126" i="55" l="1"/>
  <c r="B127" i="55"/>
  <c r="A127" i="55" l="1"/>
  <c r="B128" i="55"/>
  <c r="A128" i="55" l="1"/>
  <c r="B129" i="55"/>
  <c r="B130" i="55" l="1"/>
  <c r="A129" i="55"/>
  <c r="B131" i="55" l="1"/>
  <c r="A130" i="55"/>
  <c r="A131" i="55" l="1"/>
  <c r="B132" i="55"/>
  <c r="B133" i="55" l="1"/>
  <c r="A132" i="55"/>
  <c r="A133" i="55" l="1"/>
  <c r="B134" i="55"/>
  <c r="B135" i="55" l="1"/>
  <c r="A134" i="55"/>
  <c r="B136" i="55" l="1"/>
  <c r="A135" i="55"/>
  <c r="A136" i="55" l="1"/>
  <c r="B137" i="55"/>
  <c r="B138" i="55" l="1"/>
  <c r="A137" i="55"/>
  <c r="A138" i="55" l="1"/>
  <c r="B139" i="55"/>
  <c r="B140" i="55" l="1"/>
  <c r="A139" i="55"/>
  <c r="A140" i="55" l="1"/>
  <c r="B141" i="55"/>
  <c r="B142" i="55" l="1"/>
  <c r="A141" i="55"/>
  <c r="A142" i="55" l="1"/>
  <c r="B143" i="55"/>
  <c r="B144" i="55" l="1"/>
  <c r="A143" i="55"/>
  <c r="A144" i="55" l="1"/>
  <c r="B145" i="55"/>
  <c r="A145" i="55" l="1"/>
  <c r="B146" i="55"/>
  <c r="B147" i="55" l="1"/>
  <c r="A146" i="55"/>
  <c r="A147" i="55" l="1"/>
  <c r="B148" i="55"/>
  <c r="A148" i="55" l="1"/>
  <c r="B149" i="55"/>
  <c r="B150" i="55" l="1"/>
  <c r="A149" i="55"/>
  <c r="A150" i="55" l="1"/>
  <c r="B160" i="55" l="1"/>
  <c r="A160" i="55" l="1"/>
  <c r="B161" i="55"/>
  <c r="B162" i="55" l="1"/>
  <c r="A161" i="55"/>
  <c r="B163" i="55" l="1"/>
  <c r="A162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B170" i="55" l="1"/>
  <c r="A169" i="55"/>
  <c r="A170" i="55" l="1"/>
  <c r="B171" i="55"/>
  <c r="B172" i="55" l="1"/>
  <c r="A171" i="55"/>
  <c r="A172" i="55" l="1"/>
  <c r="B173" i="55"/>
  <c r="B174" i="55" l="1"/>
  <c r="A173" i="55"/>
  <c r="A174" i="55" l="1"/>
  <c r="B175" i="55"/>
  <c r="B176" i="55" l="1"/>
  <c r="A175" i="55"/>
  <c r="A176" i="55" l="1"/>
  <c r="B177" i="55"/>
  <c r="A177" i="55" l="1"/>
  <c r="B178" i="55"/>
  <c r="B179" i="55" l="1"/>
  <c r="A178" i="55"/>
  <c r="B180" i="55" l="1"/>
  <c r="A179" i="55"/>
  <c r="A180" i="55" l="1"/>
  <c r="B181" i="55"/>
  <c r="B182" i="55" l="1"/>
  <c r="A181" i="55"/>
  <c r="A182" i="55" l="1"/>
  <c r="B183" i="55"/>
  <c r="B184" i="55" l="1"/>
  <c r="A183" i="55"/>
  <c r="A184" i="55" l="1"/>
  <c r="B185" i="55"/>
  <c r="A185" i="55" l="1"/>
  <c r="B186" i="55"/>
  <c r="A186" i="55" l="1"/>
  <c r="B187" i="55"/>
  <c r="A187" i="55" l="1"/>
  <c r="B188" i="55"/>
  <c r="B189" i="55" l="1"/>
  <c r="A188" i="55"/>
  <c r="A189" i="55" l="1"/>
  <c r="B190" i="55"/>
  <c r="A190" i="55" l="1"/>
  <c r="B191" i="55"/>
  <c r="A191" i="55" l="1"/>
  <c r="B192" i="55"/>
  <c r="A192" i="55" l="1"/>
  <c r="B193" i="55"/>
  <c r="A193" i="55" l="1"/>
  <c r="B194" i="55"/>
  <c r="B195" i="55" l="1"/>
  <c r="A194" i="55"/>
  <c r="A195" i="55" l="1"/>
  <c r="B196" i="55"/>
  <c r="A196" i="55" l="1"/>
  <c r="B197" i="55"/>
  <c r="A197" i="55" l="1"/>
  <c r="B198" i="55"/>
  <c r="B199" i="55" l="1"/>
  <c r="A198" i="55"/>
  <c r="A199" i="55" l="1"/>
  <c r="B200" i="55"/>
  <c r="A200" i="55" l="1"/>
  <c r="B201" i="55"/>
  <c r="B202" i="55" l="1"/>
  <c r="A201" i="55"/>
  <c r="A202" i="55" l="1"/>
  <c r="B203" i="55"/>
  <c r="A203" i="55" l="1"/>
  <c r="B204" i="55"/>
  <c r="A204" i="55" l="1"/>
  <c r="B205" i="55"/>
  <c r="B206" i="55" l="1"/>
  <c r="A205" i="55"/>
  <c r="A206" i="55" l="1"/>
  <c r="B207" i="55"/>
  <c r="A207" i="55" l="1"/>
  <c r="B208" i="55"/>
  <c r="B209" i="55" l="1"/>
  <c r="A208" i="55"/>
  <c r="A209" i="55" l="1"/>
  <c r="B210" i="55"/>
  <c r="B211" i="55" l="1"/>
  <c r="A210" i="55"/>
  <c r="A211" i="55" l="1"/>
  <c r="B212" i="55"/>
  <c r="A212" i="55" l="1"/>
  <c r="B213" i="55"/>
  <c r="B214" i="55" l="1"/>
  <c r="A213" i="55"/>
  <c r="B215" i="55" l="1"/>
  <c r="A214" i="55"/>
  <c r="A215" i="55" l="1"/>
</calcChain>
</file>

<file path=xl/sharedStrings.xml><?xml version="1.0" encoding="utf-8"?>
<sst xmlns="http://schemas.openxmlformats.org/spreadsheetml/2006/main" count="3256" uniqueCount="782">
  <si>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</si>
  <si>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</si>
  <si>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</si>
  <si>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</si>
  <si>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</si>
  <si>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</si>
  <si>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</si>
  <si>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</si>
  <si>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</si>
  <si>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</si>
  <si>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</si>
  <si>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</si>
  <si>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</si>
  <si>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</si>
  <si>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</si>
  <si>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</si>
  <si>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</si>
  <si>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</si>
  <si>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</si>
  <si>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</si>
  <si>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</si>
  <si>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</si>
  <si>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</si>
  <si>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</si>
  <si>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</si>
  <si>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</si>
  <si>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</si>
  <si>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</si>
  <si>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</si>
  <si>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</si>
  <si>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</si>
  <si>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</si>
  <si>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</si>
  <si>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</si>
  <si>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</si>
  <si>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</si>
  <si>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</si>
  <si>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</si>
  <si>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</si>
  <si>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</si>
  <si>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</si>
  <si>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</si>
  <si>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</si>
  <si>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</si>
  <si>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</si>
  <si>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</si>
  <si>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</si>
  <si>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</si>
  <si>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</si>
  <si>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</si>
  <si>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</si>
  <si>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</si>
  <si>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</si>
  <si>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</si>
  <si>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</si>
  <si>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</si>
  <si>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</si>
  <si>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</si>
  <si>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</si>
  <si>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</si>
  <si>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</si>
  <si>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</si>
  <si>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</si>
  <si>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</si>
  <si>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</si>
  <si>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</si>
  <si>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</si>
  <si>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</si>
  <si>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</si>
  <si>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</si>
  <si>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</si>
  <si>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</si>
  <si>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</si>
  <si>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</si>
  <si>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</si>
  <si>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</si>
  <si>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</si>
  <si>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</si>
  <si>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</si>
  <si>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</si>
  <si>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</si>
  <si>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</si>
  <si>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</si>
  <si>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</si>
  <si>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</si>
  <si>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</si>
  <si>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</si>
  <si>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</si>
  <si>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</si>
  <si>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</si>
  <si>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</si>
  <si>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</si>
  <si>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</si>
  <si>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</si>
  <si>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</si>
  <si>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</si>
  <si>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</si>
  <si>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</si>
  <si>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</si>
  <si>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</si>
  <si>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</si>
  <si>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</si>
  <si>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</si>
  <si>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</si>
  <si>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</si>
  <si>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</si>
  <si>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</si>
  <si>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</si>
  <si>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</si>
  <si>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</si>
  <si>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</si>
  <si>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</si>
  <si>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</si>
  <si>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</si>
  <si>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</si>
  <si>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</si>
  <si>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</si>
  <si>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</si>
  <si>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</si>
  <si>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</si>
  <si>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</si>
  <si>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</si>
  <si>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</si>
  <si>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</si>
  <si>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</si>
  <si>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</si>
  <si>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</si>
  <si>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</si>
  <si>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</si>
  <si>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</si>
  <si>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</si>
  <si>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</si>
  <si>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</si>
  <si>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</si>
  <si>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</si>
  <si>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</si>
  <si>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</si>
  <si>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</si>
  <si>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</si>
  <si>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</si>
  <si>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</si>
  <si>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</si>
  <si>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</si>
  <si>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</si>
  <si>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</si>
  <si>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</si>
  <si>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</si>
  <si>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</si>
  <si>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</si>
  <si>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</si>
  <si>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</si>
  <si>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</si>
  <si>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</si>
  <si>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</si>
  <si>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</si>
  <si>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</si>
  <si>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</si>
  <si>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</si>
  <si>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</si>
  <si>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</si>
  <si>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</si>
  <si>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</si>
  <si>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</si>
  <si>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</si>
  <si>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</si>
  <si>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</si>
  <si>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</si>
  <si>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</si>
  <si>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</si>
  <si>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</si>
  <si>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</si>
  <si>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</si>
  <si>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</si>
  <si>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</si>
  <si>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</si>
  <si>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</si>
  <si>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</si>
  <si>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</si>
  <si>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</si>
  <si>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</si>
  <si>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</si>
  <si>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</si>
  <si>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</si>
  <si>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</si>
  <si>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</si>
  <si>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</si>
  <si>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</si>
  <si>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</si>
  <si>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</si>
  <si>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</si>
  <si>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</si>
  <si>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</si>
  <si>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</si>
  <si>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</si>
  <si>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</si>
  <si>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</si>
  <si>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</si>
  <si>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</si>
  <si>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</si>
  <si>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</si>
  <si>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</si>
  <si>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</si>
  <si>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</si>
  <si>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</si>
  <si>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</si>
  <si>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</si>
  <si>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</si>
  <si>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</si>
  <si>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</si>
  <si>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</si>
  <si>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</si>
  <si>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</si>
  <si>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</si>
  <si>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</si>
  <si>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</si>
  <si>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</si>
  <si>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</si>
  <si>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</si>
  <si>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</si>
  <si>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</si>
  <si>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</si>
  <si>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</si>
  <si>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</si>
  <si>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</si>
  <si>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</si>
  <si>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</si>
  <si>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</si>
  <si>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</si>
  <si>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</si>
  <si>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</si>
  <si>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</si>
  <si>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</si>
  <si>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</si>
  <si>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</si>
  <si>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</si>
  <si>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</si>
  <si>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</si>
  <si>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</si>
  <si>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</si>
  <si>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</si>
  <si>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</si>
  <si>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</si>
  <si>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</si>
  <si>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</si>
  <si>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</si>
  <si>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</si>
  <si>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</si>
  <si>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</si>
  <si>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</si>
  <si>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</si>
  <si>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</si>
  <si>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</si>
  <si>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</si>
  <si>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</si>
  <si>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</si>
  <si>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</si>
  <si>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</si>
  <si>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</si>
  <si>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</si>
  <si>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</si>
  <si>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</si>
  <si>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</si>
  <si>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</si>
  <si>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</si>
  <si>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</si>
  <si>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</si>
  <si>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</si>
  <si>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</si>
  <si>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</si>
  <si>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</si>
  <si>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</si>
  <si>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</si>
  <si>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</si>
  <si>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</si>
  <si>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</si>
  <si>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</si>
  <si>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</si>
  <si>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</si>
  <si>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</si>
  <si>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</si>
  <si>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</si>
  <si>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</si>
  <si>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</si>
  <si>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</si>
  <si>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</si>
  <si>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</si>
  <si>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</si>
  <si>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</si>
  <si>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</si>
  <si>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</si>
  <si>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</si>
  <si>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</si>
  <si>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</si>
  <si>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</si>
  <si>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</si>
  <si>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</si>
  <si>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</si>
  <si>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</si>
  <si>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</si>
  <si>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</si>
  <si>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</si>
  <si>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</si>
  <si>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</si>
  <si>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</si>
  <si>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</si>
  <si>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</si>
  <si>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</si>
  <si>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</si>
  <si>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</si>
  <si>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</si>
  <si>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</si>
  <si>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</si>
  <si>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</si>
  <si>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</si>
  <si>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</si>
  <si>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</si>
  <si>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</si>
  <si>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</si>
  <si>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</si>
  <si>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</si>
  <si>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</si>
  <si>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</si>
  <si>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</si>
  <si>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</si>
  <si>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</si>
  <si>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</si>
  <si>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</si>
  <si>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</si>
  <si>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</si>
  <si>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</si>
  <si>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</si>
  <si>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</si>
  <si>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</si>
  <si>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</si>
  <si>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</si>
  <si>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</si>
  <si>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</si>
  <si>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</si>
  <si>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</si>
  <si>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</si>
  <si>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</si>
  <si>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</si>
  <si>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</si>
  <si>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</si>
  <si>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</si>
  <si>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</si>
  <si>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</si>
  <si>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</si>
  <si>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</si>
  <si>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</si>
  <si>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</si>
  <si>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</si>
  <si>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</si>
  <si>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</si>
  <si>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1V+2X ( 1460x444)</t>
  </si>
  <si>
    <t>Kẽm đóng bao bì</t>
  </si>
  <si>
    <t>T01</t>
  </si>
  <si>
    <t>T02</t>
  </si>
  <si>
    <t>Máy chap khe khổ 2m</t>
  </si>
  <si>
    <t>Máy đóng kẽm</t>
  </si>
  <si>
    <t>Cty CP Hợp Tác Kinh Tế &amp; Xuất Nhập Khẩu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</si>
  <si>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</si>
  <si>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</si>
  <si>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</si>
  <si>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</si>
  <si>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</si>
  <si>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</si>
  <si>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</si>
  <si>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</si>
  <si>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</si>
  <si>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</si>
  <si>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Cty TNHH CN-TM Phước Bình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</si>
  <si>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</si>
  <si>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</si>
  <si>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</si>
  <si>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</si>
  <si>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</si>
  <si>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</si>
  <si>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</si>
  <si>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</si>
  <si>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</si>
  <si>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</si>
  <si>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</si>
  <si>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</si>
  <si>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</si>
  <si>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</si>
  <si>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</si>
  <si>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</si>
  <si>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</si>
  <si>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</si>
  <si>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</si>
  <si>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</si>
  <si>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</si>
  <si>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</si>
  <si>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</si>
  <si>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</si>
  <si>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</si>
  <si>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</si>
  <si>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</si>
  <si>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</si>
  <si>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</si>
  <si>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</si>
  <si>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</si>
  <si>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</si>
  <si>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</si>
  <si>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</si>
  <si>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</si>
  <si>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</si>
  <si>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</si>
  <si>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</si>
  <si>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</si>
  <si>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</si>
  <si>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Quý IV</t>
  </si>
  <si>
    <t>Đơn vị: CÔNG TY TNHH SX TM KIM DUNG PHÁT</t>
  </si>
  <si>
    <t>Địa chỉ: 1A227/1 Ấp 1, Phạm Văn Hai, Bình Chánh, TPHCM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</si>
  <si>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</si>
  <si>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</si>
  <si>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</si>
  <si>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</si>
  <si>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</si>
  <si>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</si>
  <si>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</si>
  <si>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</si>
  <si>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</si>
  <si>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</si>
  <si>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</si>
  <si>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</si>
  <si>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</si>
  <si>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</si>
  <si>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</si>
  <si>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Thùng carton chảo 20</t>
  </si>
  <si>
    <t>Thùng carton chảo 22</t>
  </si>
  <si>
    <t>Thùng carton chảo 24</t>
  </si>
  <si>
    <t>Thùng carton chảo 26</t>
  </si>
  <si>
    <t>Thùng carton chảo 28</t>
  </si>
  <si>
    <t>Thùng carton chảo 30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</si>
  <si>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</si>
  <si>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</si>
  <si>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</si>
  <si>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</si>
  <si>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</si>
  <si>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</si>
  <si>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</si>
  <si>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</si>
  <si>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</si>
  <si>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</si>
  <si>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</si>
  <si>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</si>
  <si>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</si>
  <si>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</si>
  <si>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</si>
  <si>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</si>
  <si>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</si>
  <si>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</si>
  <si>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</si>
  <si>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</si>
  <si>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</si>
  <si>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</si>
  <si>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</si>
  <si>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</si>
  <si>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</si>
  <si>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</si>
  <si>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</si>
  <si>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</si>
  <si>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</si>
  <si>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</si>
  <si>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</si>
  <si>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</si>
  <si>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</si>
  <si>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</si>
  <si>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</si>
  <si>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</si>
  <si>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</si>
  <si>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</si>
  <si>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</si>
  <si>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</si>
  <si>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</si>
  <si>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</si>
  <si>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</si>
  <si>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Vay dài hạn</t>
  </si>
  <si>
    <t>3412</t>
  </si>
  <si>
    <t>Vay ngắn hạn</t>
  </si>
  <si>
    <t xml:space="preserve"> Vay và nợ thuê tài chính 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</si>
  <si>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</si>
  <si>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</si>
  <si>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</si>
  <si>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</si>
  <si>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</si>
  <si>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</si>
  <si>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</si>
  <si>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</si>
  <si>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</si>
  <si>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</si>
  <si>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</si>
  <si>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</si>
  <si>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</si>
  <si>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</si>
  <si>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</si>
  <si>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</si>
  <si>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</si>
  <si>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</si>
  <si>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</si>
  <si>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</si>
  <si>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</si>
  <si>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</si>
  <si>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</si>
  <si>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</si>
  <si>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</si>
  <si>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</si>
  <si>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</si>
  <si>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</si>
  <si>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</si>
  <si>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</si>
  <si>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</si>
  <si>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</si>
  <si>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</si>
  <si>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</si>
  <si>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</si>
  <si>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</si>
  <si>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</si>
  <si>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</si>
  <si>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Tiền thuê xưởng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</si>
  <si>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</si>
  <si>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</si>
  <si>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</si>
  <si>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</si>
  <si>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</si>
  <si>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</si>
  <si>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</si>
  <si>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</si>
  <si>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</si>
  <si>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</si>
  <si>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</si>
  <si>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</si>
  <si>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</si>
  <si>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</si>
  <si>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</si>
  <si>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</si>
  <si>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</si>
  <si>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</si>
  <si>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</si>
  <si>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</si>
  <si>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</si>
  <si>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</si>
  <si>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</si>
  <si>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</si>
  <si>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</si>
  <si>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</si>
  <si>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</si>
  <si>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</si>
  <si>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</si>
  <si>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</si>
  <si>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</si>
  <si>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</si>
  <si>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</si>
  <si>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</si>
  <si>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</si>
  <si>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</si>
  <si>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</si>
  <si>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</si>
  <si>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</si>
  <si>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</si>
  <si>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</si>
  <si>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</si>
  <si>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</si>
  <si>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</si>
  <si>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</si>
  <si>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</si>
  <si>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</si>
  <si>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</si>
  <si>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</si>
  <si>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</si>
  <si>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</si>
  <si>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</si>
  <si>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</si>
  <si>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</si>
  <si>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</si>
  <si>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</si>
  <si>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</si>
  <si>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</si>
  <si>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00000001</t>
  </si>
  <si>
    <t>Hộp âm dương (85.5x100.5x35)</t>
  </si>
  <si>
    <t>VAT Hộp âm dương</t>
  </si>
  <si>
    <t>Cty TNHH Greenled</t>
  </si>
  <si>
    <t>00000002</t>
  </si>
  <si>
    <t>Thùng carton ()</t>
  </si>
  <si>
    <t>VAT Thùng carton</t>
  </si>
  <si>
    <t>Thùng carton (117x87x5)</t>
  </si>
  <si>
    <t>Thùng carton (103x54x180)</t>
  </si>
  <si>
    <t>00000004</t>
  </si>
  <si>
    <t>Thùng carton (88x68x15)</t>
  </si>
  <si>
    <t>Thùng carton (47x42x25)</t>
  </si>
  <si>
    <t>Thùng carton (48x41x29)</t>
  </si>
  <si>
    <t>00000005</t>
  </si>
  <si>
    <t>Thùng carton (45x37x27.5)</t>
  </si>
  <si>
    <t>00000007</t>
  </si>
  <si>
    <t>Thùng carton (55x28x23.5)</t>
  </si>
  <si>
    <t>00000009</t>
  </si>
  <si>
    <t>Thùng carton (37.5x23.5x69.5)</t>
  </si>
  <si>
    <t>00000011</t>
  </si>
  <si>
    <t>Thùng carton (40x25x72)</t>
  </si>
  <si>
    <t>Cty TNHH SX TM DV Quà Việt</t>
  </si>
  <si>
    <t>00000012</t>
  </si>
  <si>
    <t xml:space="preserve">VAT Tấm lót </t>
  </si>
  <si>
    <t>Tấm lót (70x45)</t>
  </si>
  <si>
    <t>Tấm lót (50x40)</t>
  </si>
  <si>
    <t>00000013</t>
  </si>
  <si>
    <t>00000014</t>
  </si>
  <si>
    <t>Thùng carton (37.5x25.5x23.9)</t>
  </si>
  <si>
    <t>Thùng carton (49.5x38.5x32.5)</t>
  </si>
  <si>
    <t>Thùng carton (72x51.5x40)</t>
  </si>
  <si>
    <t>00000016</t>
  </si>
  <si>
    <t>00000017</t>
  </si>
  <si>
    <t>00000018</t>
  </si>
  <si>
    <t>Thùng carton (48x40x18)</t>
  </si>
  <si>
    <t>00000020</t>
  </si>
  <si>
    <t>Thùng carton (39.5x26.5x29.5)</t>
  </si>
  <si>
    <t>00000021</t>
  </si>
  <si>
    <t>Thùng carton (49x38x12)</t>
  </si>
  <si>
    <t>Thùng carton (49x38x13)</t>
  </si>
  <si>
    <t>00000022</t>
  </si>
  <si>
    <t>00000023</t>
  </si>
  <si>
    <t>00000024</t>
  </si>
  <si>
    <t>Thùng carton (42x24x25)</t>
  </si>
  <si>
    <t>Thùng carton (50x37x21)</t>
  </si>
  <si>
    <t>Thùng carton (45x33x46)</t>
  </si>
  <si>
    <t>00000025</t>
  </si>
  <si>
    <t>Thùng carton (52x24.5x24.5)</t>
  </si>
  <si>
    <t>Thùng carton (22.5x22.5x52)</t>
  </si>
  <si>
    <t>Thùng carton (55x45x29)</t>
  </si>
  <si>
    <t>00000026</t>
  </si>
  <si>
    <t>Thùng carton (49x38x12.5)</t>
  </si>
  <si>
    <t>00000027</t>
  </si>
  <si>
    <t>00000028</t>
  </si>
  <si>
    <t>Thùng carton (36.5x26.5x26)</t>
  </si>
  <si>
    <t>00000029</t>
  </si>
  <si>
    <t>Cty TNHH MTV DV Quảng Cáo Lu Bi</t>
  </si>
  <si>
    <t>Thùng carton (62x42.5x42.5)</t>
  </si>
  <si>
    <t>00000030</t>
  </si>
  <si>
    <t>00000031</t>
  </si>
  <si>
    <t>00000032</t>
  </si>
  <si>
    <t>00000033</t>
  </si>
  <si>
    <t>Thùng carton (52x24x24)</t>
  </si>
  <si>
    <t>Thùng carton (52x27x27)</t>
  </si>
  <si>
    <t>00000034</t>
  </si>
  <si>
    <t>Thùng carton (103x50x180)</t>
  </si>
  <si>
    <t>00000035</t>
  </si>
  <si>
    <t>Thùng carton (40x29.5x19)</t>
  </si>
  <si>
    <t>00000037</t>
  </si>
  <si>
    <t>Thùng carton (40x25.5x72)</t>
  </si>
  <si>
    <t>Giấy 2 lớp</t>
  </si>
  <si>
    <t>00000038</t>
  </si>
  <si>
    <t>VAT giấy</t>
  </si>
  <si>
    <t>00000039</t>
  </si>
  <si>
    <t>00000040</t>
  </si>
  <si>
    <t>00000042</t>
  </si>
  <si>
    <t>00000043</t>
  </si>
  <si>
    <t>00000044</t>
  </si>
  <si>
    <t>Thùng carton (51.5x39.5x39.5)</t>
  </si>
  <si>
    <t>Tấm lót (50x38)</t>
  </si>
  <si>
    <t>00000046</t>
  </si>
  <si>
    <t>00000047</t>
  </si>
  <si>
    <t>Thùng carton (52.5x30.5x8.5)</t>
  </si>
  <si>
    <t>Thùng carton (53x31x9.2)</t>
  </si>
  <si>
    <t>00000048</t>
  </si>
  <si>
    <t>Thùng carton (43x27.5x23)</t>
  </si>
  <si>
    <t>00000049</t>
  </si>
  <si>
    <t>00000050</t>
  </si>
  <si>
    <t xml:space="preserve">VAT Giấy tấm </t>
  </si>
  <si>
    <t>00000052</t>
  </si>
  <si>
    <t>00000054</t>
  </si>
  <si>
    <t>00000055</t>
  </si>
  <si>
    <t>Thùng carton (52x28x28)</t>
  </si>
  <si>
    <t>00000056</t>
  </si>
  <si>
    <t>Thùng carton (32x26x25)</t>
  </si>
  <si>
    <t>00000057</t>
  </si>
  <si>
    <t>00000058</t>
  </si>
  <si>
    <t>00000059</t>
  </si>
  <si>
    <t>00000060</t>
  </si>
  <si>
    <t>00000061</t>
  </si>
  <si>
    <t>VAT Giấy</t>
  </si>
  <si>
    <t>00000062</t>
  </si>
  <si>
    <t>00000064</t>
  </si>
  <si>
    <t>00000066</t>
  </si>
  <si>
    <t>Thùng carton (23.5x23.5x30)</t>
  </si>
  <si>
    <t>00000067</t>
  </si>
  <si>
    <t>00000068</t>
  </si>
  <si>
    <t>Cty TNHH MTV TM Trường Phúc</t>
  </si>
  <si>
    <t>Thùng carton (44.5x28.5x22.5)</t>
  </si>
  <si>
    <t>00000070</t>
  </si>
  <si>
    <t>00000072</t>
  </si>
  <si>
    <t>00000073</t>
  </si>
  <si>
    <t>Thùng carton (52x26.5x26.5)</t>
  </si>
  <si>
    <t>Thùng carton (52x32x21)</t>
  </si>
  <si>
    <t>Thùng carton (50x25x30)</t>
  </si>
  <si>
    <t>00000076</t>
  </si>
  <si>
    <t>00000077</t>
  </si>
  <si>
    <t>Thùng carton (41.5x24.5x11.6)</t>
  </si>
  <si>
    <t>Thùng carton (46.5x26.5x11.5)</t>
  </si>
  <si>
    <t>00000080</t>
  </si>
  <si>
    <t>00000081</t>
  </si>
  <si>
    <t>Cty TNHH SXTM Phú Hưng Cường</t>
  </si>
  <si>
    <t>00000082</t>
  </si>
  <si>
    <t>00000083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</si>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</sst>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49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3" fontId="34" fillId="0" borderId="16" xfId="46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6" fillId="0" borderId="0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9"/>
      <sheetName val="BTGT 10-12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2"/>
  <sheetViews>
    <sheetView tabSelected="1" topLeftCell="A6" workbookViewId="0">
      <pane ySplit="4" topLeftCell="A13" activePane="bottomLeft" state="frozen"/>
      <selection activeCell="A6" sqref="A6"/>
      <selection pane="bottomLeft" activeCell="C15" sqref="C15"/>
    </sheetView>
  </sheetViews>
  <sheetFormatPr defaultColWidth="8" defaultRowHeight="12.75"/>
  <cols>
    <col min="1" max="1" width="5.7109375" style="633" customWidth="1"/>
    <col min="2" max="2" width="36.85546875" style="633" customWidth="1"/>
    <col min="3" max="3" width="14.7109375" style="161" customWidth="1"/>
    <col min="4" max="4" width="13.5703125" style="161" customWidth="1"/>
    <col min="5" max="6" width="14.7109375" style="633" customWidth="1"/>
    <col min="7" max="8" width="13.85546875" style="633" customWidth="1"/>
    <col min="9" max="9" width="2.42578125" style="633" customWidth="1"/>
    <col min="10" max="10" width="11" style="633" customWidth="1"/>
    <col min="11" max="11" width="2.85546875" style="633" customWidth="1"/>
    <col min="12" max="12" width="11.85546875" style="633" customWidth="1"/>
    <col min="13" max="16384" width="8" style="633"/>
  </cols>
  <sheetData>
    <row r="1" spans="1:16">
      <c r="A1" s="632"/>
      <c r="B1" s="632"/>
    </row>
    <row r="2" spans="1:16">
      <c r="A2" s="632" t="str">
        <f>TH!A1</f>
        <v>Đơn vị: CÔNG TY TNHH SX TM KIM DUNG PHÁT</v>
      </c>
      <c r="B2" s="632"/>
    </row>
    <row r="3" spans="1:16">
      <c r="A3" s="633" t="str">
        <f>TH!A2</f>
        <v>Địa chỉ: 1A227/1 Ấp 1, Phạm Văn Hai, Bình Chánh, TPHCM</v>
      </c>
      <c r="B3" s="632"/>
    </row>
    <row r="5" spans="1:16" ht="36" customHeight="1">
      <c r="A5" s="634"/>
      <c r="B5" s="634"/>
      <c r="C5" s="635"/>
      <c r="D5" s="636" t="s">
        <v>352</v>
      </c>
      <c r="E5" s="634"/>
      <c r="F5" s="634"/>
      <c r="G5" s="634"/>
      <c r="H5" s="634"/>
    </row>
    <row r="6" spans="1:16" ht="15.75">
      <c r="A6" s="634"/>
      <c r="B6" s="634"/>
      <c r="C6" s="635"/>
      <c r="D6" s="657" t="s">
        <v>486</v>
      </c>
      <c r="E6" s="634"/>
      <c r="F6" s="634"/>
      <c r="G6" s="634"/>
      <c r="H6" s="634"/>
    </row>
    <row r="7" spans="1:16" ht="6.75" customHeight="1"/>
    <row r="8" spans="1:16" ht="21.75" customHeight="1">
      <c r="A8" s="931" t="s">
        <v>418</v>
      </c>
      <c r="B8" s="931" t="s">
        <v>350</v>
      </c>
      <c r="C8" s="927" t="s">
        <v>37</v>
      </c>
      <c r="D8" s="928"/>
      <c r="E8" s="927" t="s">
        <v>38</v>
      </c>
      <c r="F8" s="928"/>
      <c r="G8" s="927" t="s">
        <v>351</v>
      </c>
      <c r="H8" s="928"/>
    </row>
    <row r="9" spans="1:16" ht="21.75" customHeight="1">
      <c r="A9" s="932"/>
      <c r="B9" s="932"/>
      <c r="C9" s="631" t="s">
        <v>42</v>
      </c>
      <c r="D9" s="631" t="s">
        <v>43</v>
      </c>
      <c r="E9" s="631" t="s">
        <v>42</v>
      </c>
      <c r="F9" s="631" t="s">
        <v>43</v>
      </c>
      <c r="G9" s="631" t="s">
        <v>42</v>
      </c>
      <c r="H9" s="631" t="s">
        <v>43</v>
      </c>
    </row>
    <row r="10" spans="1:16" s="161" customFormat="1" ht="17.25" customHeight="1">
      <c r="A10" s="637" t="s">
        <v>47</v>
      </c>
      <c r="B10" s="638" t="s">
        <v>48</v>
      </c>
      <c r="C10" s="639">
        <v>1800000000</v>
      </c>
      <c r="D10" s="639"/>
      <c r="E10" s="639">
        <f t="array" ref="E10">SUM(IF(A10=KHN,TH))</f>
        <v>102690444</v>
      </c>
      <c r="F10" s="639">
        <f t="array" ref="F10">SUM(IF(A10=KHC,TH))</f>
        <v>398948840</v>
      </c>
      <c r="G10" s="640">
        <f>MAX(C10+E10-D10-F10,0)</f>
        <v>1503741604</v>
      </c>
      <c r="H10" s="640">
        <f>MAX(D10+F10-E10-C10,0)</f>
        <v>0</v>
      </c>
      <c r="J10" s="633"/>
      <c r="K10" s="633"/>
      <c r="L10" s="633"/>
      <c r="M10" s="633"/>
      <c r="N10" s="633"/>
      <c r="O10" s="633"/>
      <c r="P10" s="633"/>
    </row>
    <row r="11" spans="1:16" s="161" customFormat="1" ht="17.25" customHeight="1">
      <c r="A11" s="642" t="s">
        <v>16</v>
      </c>
      <c r="B11" s="642" t="s">
        <v>49</v>
      </c>
      <c r="C11" s="643">
        <f t="shared" ref="C11:H11" si="0">C10</f>
        <v>1800000000</v>
      </c>
      <c r="D11" s="643">
        <f t="shared" si="0"/>
        <v>0</v>
      </c>
      <c r="E11" s="643">
        <f t="shared" si="0"/>
        <v>102690444</v>
      </c>
      <c r="F11" s="643">
        <f t="shared" si="0"/>
        <v>398948840</v>
      </c>
      <c r="G11" s="643">
        <f t="shared" si="0"/>
        <v>1503741604</v>
      </c>
      <c r="H11" s="643">
        <f t="shared" si="0"/>
        <v>0</v>
      </c>
      <c r="J11" s="633"/>
      <c r="K11" s="633"/>
      <c r="L11" s="633"/>
      <c r="M11" s="633"/>
      <c r="N11" s="633"/>
      <c r="O11" s="633"/>
      <c r="P11" s="633"/>
    </row>
    <row r="12" spans="1:16" s="161" customFormat="1" ht="17.25" customHeight="1">
      <c r="A12" s="638" t="s">
        <v>24</v>
      </c>
      <c r="B12" s="638" t="s">
        <v>50</v>
      </c>
      <c r="C12" s="639"/>
      <c r="D12" s="639">
        <v>0</v>
      </c>
      <c r="E12" s="639">
        <f t="array" ref="E12">SUM(IF(A12=KHN,TH))</f>
        <v>567909535</v>
      </c>
      <c r="F12" s="639">
        <f t="array" ref="F12">SUM(IF(A12=KHC,TH))</f>
        <v>547549451</v>
      </c>
      <c r="G12" s="640">
        <f>MAX(C12+E12-D12-F12,0)</f>
        <v>20360084</v>
      </c>
      <c r="H12" s="640">
        <f>MAX(D12+F12-E12-C12,0)</f>
        <v>0</v>
      </c>
      <c r="K12" s="641"/>
      <c r="L12" s="641"/>
      <c r="M12" s="641"/>
    </row>
    <row r="13" spans="1:16" s="161" customFormat="1" ht="17.25" customHeight="1">
      <c r="A13" s="642" t="s">
        <v>51</v>
      </c>
      <c r="B13" s="642" t="s">
        <v>52</v>
      </c>
      <c r="C13" s="643">
        <f t="shared" ref="C13:H13" si="1">C12</f>
        <v>0</v>
      </c>
      <c r="D13" s="643">
        <f t="shared" si="1"/>
        <v>0</v>
      </c>
      <c r="E13" s="643">
        <f t="shared" si="1"/>
        <v>567909535</v>
      </c>
      <c r="F13" s="643">
        <f t="shared" si="1"/>
        <v>547549451</v>
      </c>
      <c r="G13" s="643">
        <f t="shared" si="1"/>
        <v>20360084</v>
      </c>
      <c r="H13" s="643">
        <f t="shared" si="1"/>
        <v>0</v>
      </c>
    </row>
    <row r="14" spans="1:16" s="161" customFormat="1" ht="17.25" customHeight="1">
      <c r="A14" s="642" t="s">
        <v>259</v>
      </c>
      <c r="B14" s="642" t="s">
        <v>271</v>
      </c>
      <c r="C14" s="643"/>
      <c r="D14" s="643"/>
      <c r="E14" s="644">
        <f t="array" ref="E14">SUM(IF(A14=KHN,TH))</f>
        <v>661608625</v>
      </c>
      <c r="F14" s="644">
        <f t="array" ref="F14">SUM(IF(A14=KHC,TH))</f>
        <v>234352414</v>
      </c>
      <c r="G14" s="643">
        <f>MAX(C14+E14-D14-F14,0)</f>
        <v>427256211</v>
      </c>
      <c r="H14" s="643">
        <f>MAX(D14+F14-E14-C14,0)</f>
        <v>0</v>
      </c>
    </row>
    <row r="15" spans="1:16" s="161" customFormat="1" ht="17.25" customHeight="1">
      <c r="A15" s="638" t="s">
        <v>9</v>
      </c>
      <c r="B15" s="638" t="s">
        <v>53</v>
      </c>
      <c r="C15" s="639"/>
      <c r="D15" s="639"/>
      <c r="E15" s="639">
        <f t="array" ref="E15">SUM(IF(A15=KHN,TH))</f>
        <v>84603766</v>
      </c>
      <c r="F15" s="639">
        <f t="array" ref="F15">SUM(IF(A15=KHC,TH))</f>
        <v>60146238</v>
      </c>
      <c r="G15" s="640">
        <f>MAX(C15+E15-D15-F15,0)</f>
        <v>24457528</v>
      </c>
      <c r="H15" s="640">
        <f>MAX(D15+F15-E15-C15,0)</f>
        <v>0</v>
      </c>
    </row>
    <row r="16" spans="1:16" s="161" customFormat="1" ht="17.25" customHeight="1">
      <c r="A16" s="642" t="s">
        <v>54</v>
      </c>
      <c r="B16" s="642" t="s">
        <v>55</v>
      </c>
      <c r="C16" s="643">
        <f t="shared" ref="C16:H16" si="2">C15</f>
        <v>0</v>
      </c>
      <c r="D16" s="643">
        <f t="shared" si="2"/>
        <v>0</v>
      </c>
      <c r="E16" s="643">
        <f t="shared" si="2"/>
        <v>84603766</v>
      </c>
      <c r="F16" s="643">
        <f t="shared" si="2"/>
        <v>60146238</v>
      </c>
      <c r="G16" s="643">
        <f t="shared" si="2"/>
        <v>24457528</v>
      </c>
      <c r="H16" s="643">
        <f t="shared" si="2"/>
        <v>0</v>
      </c>
    </row>
    <row r="17" spans="1:8" s="161" customFormat="1" ht="17.25" customHeight="1">
      <c r="A17" s="638" t="s">
        <v>56</v>
      </c>
      <c r="B17" s="638" t="s">
        <v>57</v>
      </c>
      <c r="C17" s="639"/>
      <c r="D17" s="639"/>
      <c r="E17" s="639">
        <f t="array" ref="E17">SUM(IF(A17=KHN,TH))</f>
        <v>0</v>
      </c>
      <c r="F17" s="639">
        <f t="array" ref="F17">SUM(IF(A17=KHC,TH))</f>
        <v>0</v>
      </c>
      <c r="G17" s="640">
        <f t="shared" ref="G17:G32" si="3">MAX(C17+E17-D17-F17,0)</f>
        <v>0</v>
      </c>
      <c r="H17" s="640">
        <f t="shared" ref="H17:H32" si="4">MAX(D17+F17-E17-C17,0)</f>
        <v>0</v>
      </c>
    </row>
    <row r="18" spans="1:8" s="161" customFormat="1" ht="17.25" customHeight="1">
      <c r="A18" s="642" t="s">
        <v>58</v>
      </c>
      <c r="B18" s="642" t="s">
        <v>59</v>
      </c>
      <c r="C18" s="643">
        <f>C17</f>
        <v>0</v>
      </c>
      <c r="D18" s="643">
        <f>D17</f>
        <v>0</v>
      </c>
      <c r="E18" s="643">
        <f>E17</f>
        <v>0</v>
      </c>
      <c r="F18" s="643">
        <f>F17</f>
        <v>0</v>
      </c>
      <c r="G18" s="643">
        <f t="shared" si="3"/>
        <v>0</v>
      </c>
      <c r="H18" s="643">
        <f t="shared" si="4"/>
        <v>0</v>
      </c>
    </row>
    <row r="19" spans="1:8" s="161" customFormat="1" ht="17.25" customHeight="1">
      <c r="A19" s="638" t="s">
        <v>159</v>
      </c>
      <c r="B19" s="638" t="s">
        <v>160</v>
      </c>
      <c r="C19" s="639"/>
      <c r="D19" s="639"/>
      <c r="E19" s="639">
        <f t="array" ref="E19">SUM(IF(A19=KHN,TH))</f>
        <v>690237000</v>
      </c>
      <c r="F19" s="639">
        <f t="array" ref="F19">SUM(IF(A19=KHC,TH))</f>
        <v>0</v>
      </c>
      <c r="G19" s="640">
        <f t="shared" si="3"/>
        <v>690237000</v>
      </c>
      <c r="H19" s="640">
        <f t="shared" si="4"/>
        <v>0</v>
      </c>
    </row>
    <row r="20" spans="1:8" s="161" customFormat="1" ht="17.25" customHeight="1">
      <c r="A20" s="638" t="s">
        <v>161</v>
      </c>
      <c r="B20" s="638" t="s">
        <v>162</v>
      </c>
      <c r="C20" s="639"/>
      <c r="D20" s="639"/>
      <c r="E20" s="639">
        <f t="array" ref="E20">SUM(IF(A20=KHN,TH))</f>
        <v>36636600</v>
      </c>
      <c r="F20" s="639">
        <f t="array" ref="F20">SUM(IF(A20=KHC,TH))</f>
        <v>0</v>
      </c>
      <c r="G20" s="639">
        <f t="shared" si="3"/>
        <v>36636600</v>
      </c>
      <c r="H20" s="639">
        <f t="shared" si="4"/>
        <v>0</v>
      </c>
    </row>
    <row r="21" spans="1:8" s="161" customFormat="1" ht="17.25" customHeight="1">
      <c r="A21" s="642" t="s">
        <v>163</v>
      </c>
      <c r="B21" s="642" t="s">
        <v>164</v>
      </c>
      <c r="C21" s="643">
        <f>C19+C20</f>
        <v>0</v>
      </c>
      <c r="D21" s="643">
        <f>D19+D20</f>
        <v>0</v>
      </c>
      <c r="E21" s="643">
        <f>E19+E20</f>
        <v>726873600</v>
      </c>
      <c r="F21" s="643">
        <f>F19+F20</f>
        <v>0</v>
      </c>
      <c r="G21" s="643">
        <f t="shared" si="3"/>
        <v>726873600</v>
      </c>
      <c r="H21" s="643">
        <f t="shared" si="4"/>
        <v>0</v>
      </c>
    </row>
    <row r="22" spans="1:8" s="161" customFormat="1" ht="17.25" customHeight="1">
      <c r="A22" s="642" t="s">
        <v>165</v>
      </c>
      <c r="B22" s="642" t="s">
        <v>166</v>
      </c>
      <c r="C22" s="643"/>
      <c r="D22" s="643">
        <v>0</v>
      </c>
      <c r="E22" s="644">
        <f t="array" ref="E22">SUM(IF(A22=KHN,TH))</f>
        <v>8050000</v>
      </c>
      <c r="F22" s="644">
        <f t="array" ref="F22">SUM(IF(A22=KHC,TH))</f>
        <v>0</v>
      </c>
      <c r="G22" s="643">
        <f t="shared" si="3"/>
        <v>8050000</v>
      </c>
      <c r="H22" s="643">
        <f t="shared" si="4"/>
        <v>0</v>
      </c>
    </row>
    <row r="23" spans="1:8" s="161" customFormat="1" ht="17.25" customHeight="1">
      <c r="A23" s="642" t="s">
        <v>167</v>
      </c>
      <c r="B23" s="642" t="s">
        <v>168</v>
      </c>
      <c r="C23" s="643"/>
      <c r="D23" s="643"/>
      <c r="E23" s="644">
        <f t="array" ref="E23">SUM(IF(A23=KHN,TH))</f>
        <v>0</v>
      </c>
      <c r="F23" s="644">
        <f t="array" ref="F23">SUM(IF(A23=KHC,TH))</f>
        <v>0</v>
      </c>
      <c r="G23" s="643">
        <f t="shared" si="3"/>
        <v>0</v>
      </c>
      <c r="H23" s="643">
        <f t="shared" si="4"/>
        <v>0</v>
      </c>
    </row>
    <row r="24" spans="1:8" s="161" customFormat="1" ht="17.25" customHeight="1">
      <c r="A24" s="645" t="s">
        <v>169</v>
      </c>
      <c r="B24" s="646" t="s">
        <v>441</v>
      </c>
      <c r="C24" s="647"/>
      <c r="D24" s="647"/>
      <c r="E24" s="639">
        <f t="array" ref="E24">SUM(IF(A24=KHN,TH))</f>
        <v>0</v>
      </c>
      <c r="F24" s="639">
        <f t="array" ref="F24">SUM(IF(A24=KHC,TH))</f>
        <v>0</v>
      </c>
      <c r="G24" s="647">
        <f t="shared" si="3"/>
        <v>0</v>
      </c>
      <c r="H24" s="647">
        <f t="shared" si="4"/>
        <v>0</v>
      </c>
    </row>
    <row r="25" spans="1:8" s="161" customFormat="1" ht="17.25" customHeight="1">
      <c r="A25" s="642" t="s">
        <v>170</v>
      </c>
      <c r="B25" s="642" t="s">
        <v>171</v>
      </c>
      <c r="C25" s="643">
        <f t="shared" ref="C25:H25" si="5">SUM(C24:C24)</f>
        <v>0</v>
      </c>
      <c r="D25" s="643">
        <f t="shared" si="5"/>
        <v>0</v>
      </c>
      <c r="E25" s="643">
        <f t="shared" si="5"/>
        <v>0</v>
      </c>
      <c r="F25" s="643">
        <f t="shared" si="5"/>
        <v>0</v>
      </c>
      <c r="G25" s="643">
        <f t="shared" si="5"/>
        <v>0</v>
      </c>
      <c r="H25" s="643">
        <f t="shared" si="5"/>
        <v>0</v>
      </c>
    </row>
    <row r="26" spans="1:8" s="161" customFormat="1" ht="17.25" customHeight="1">
      <c r="A26" s="638" t="s">
        <v>260</v>
      </c>
      <c r="B26" s="638" t="s">
        <v>268</v>
      </c>
      <c r="C26" s="639"/>
      <c r="D26" s="639"/>
      <c r="E26" s="639">
        <f t="array" ref="E26">SUM(IF(A26=KHN,TH))</f>
        <v>0</v>
      </c>
      <c r="F26" s="639">
        <f t="array" ref="F26">SUM(IF(A26=KHC,TH))</f>
        <v>0</v>
      </c>
      <c r="G26" s="639">
        <f>MAX(C26+E26-D26-F26,0)</f>
        <v>0</v>
      </c>
      <c r="H26" s="639">
        <f>MAX(D26+F26-E26-C26,0)</f>
        <v>0</v>
      </c>
    </row>
    <row r="27" spans="1:8" s="161" customFormat="1" ht="17.25" customHeight="1">
      <c r="A27" s="642" t="s">
        <v>269</v>
      </c>
      <c r="B27" s="642" t="s">
        <v>270</v>
      </c>
      <c r="C27" s="643">
        <f>C26</f>
        <v>0</v>
      </c>
      <c r="D27" s="643">
        <f t="shared" ref="D27:H27" si="6">D26</f>
        <v>0</v>
      </c>
      <c r="E27" s="643">
        <f t="shared" si="6"/>
        <v>0</v>
      </c>
      <c r="F27" s="643">
        <f t="shared" si="6"/>
        <v>0</v>
      </c>
      <c r="G27" s="643">
        <f t="shared" si="6"/>
        <v>0</v>
      </c>
      <c r="H27" s="643">
        <f t="shared" si="6"/>
        <v>0</v>
      </c>
    </row>
    <row r="28" spans="1:8" s="161" customFormat="1" ht="17.25" customHeight="1">
      <c r="A28" s="642" t="s">
        <v>8</v>
      </c>
      <c r="B28" s="642" t="s">
        <v>60</v>
      </c>
      <c r="C28" s="643"/>
      <c r="D28" s="643"/>
      <c r="E28" s="644">
        <f t="array" ref="E28">SUM(IF(A28=KHN,TH))</f>
        <v>479400260</v>
      </c>
      <c r="F28" s="644">
        <f t="array" ref="F28">SUM(IF(A28=KHC,TH))</f>
        <v>899782510</v>
      </c>
      <c r="G28" s="643">
        <f t="shared" si="3"/>
        <v>0</v>
      </c>
      <c r="H28" s="643">
        <f t="shared" si="4"/>
        <v>420382250</v>
      </c>
    </row>
    <row r="29" spans="1:8" s="161" customFormat="1" ht="17.25" customHeight="1">
      <c r="A29" s="649" t="s">
        <v>370</v>
      </c>
      <c r="B29" s="638" t="s">
        <v>369</v>
      </c>
      <c r="C29" s="639"/>
      <c r="D29" s="639"/>
      <c r="E29" s="639">
        <f t="array" ref="E29">SUM(IF(A29=KHN,TH))</f>
        <v>60146238</v>
      </c>
      <c r="F29" s="639">
        <f t="array" ref="F29">SUM(IF(A29=KHC,TH))</f>
        <v>60146238</v>
      </c>
      <c r="G29" s="639">
        <f t="shared" ref="G29" si="7">MAX(C29+E29-D29-F29,0)</f>
        <v>0</v>
      </c>
      <c r="H29" s="639">
        <f t="shared" ref="H29" si="8">MAX(D29+F29-E29-C29,0)</f>
        <v>0</v>
      </c>
    </row>
    <row r="30" spans="1:8" s="161" customFormat="1" ht="17.25" customHeight="1">
      <c r="A30" s="638" t="s">
        <v>61</v>
      </c>
      <c r="B30" s="638" t="s">
        <v>62</v>
      </c>
      <c r="C30" s="639"/>
      <c r="D30" s="639"/>
      <c r="E30" s="639">
        <f t="array" ref="E30">SUM(IF(A30=KHN,TH))</f>
        <v>0</v>
      </c>
      <c r="F30" s="639">
        <f t="array" ref="F30">SUM(IF(A30=KHC,TH))</f>
        <v>0</v>
      </c>
      <c r="G30" s="639">
        <f t="shared" si="3"/>
        <v>0</v>
      </c>
      <c r="H30" s="639">
        <f t="shared" si="4"/>
        <v>0</v>
      </c>
    </row>
    <row r="31" spans="1:8" s="161" customFormat="1" ht="17.25" customHeight="1">
      <c r="A31" s="638" t="s">
        <v>266</v>
      </c>
      <c r="B31" s="638" t="s">
        <v>267</v>
      </c>
      <c r="C31" s="639"/>
      <c r="D31" s="639"/>
      <c r="E31" s="639">
        <f t="array" ref="E31">SUM(IF(A31=KHN,TH))</f>
        <v>0</v>
      </c>
      <c r="F31" s="639">
        <f t="array" ref="F31">SUM(IF(A31=KHC,TH))</f>
        <v>0</v>
      </c>
      <c r="G31" s="639">
        <f t="shared" si="3"/>
        <v>0</v>
      </c>
      <c r="H31" s="639">
        <f t="shared" si="4"/>
        <v>0</v>
      </c>
    </row>
    <row r="32" spans="1:8" s="161" customFormat="1" ht="17.25" customHeight="1">
      <c r="A32" s="649" t="s">
        <v>63</v>
      </c>
      <c r="B32" s="650" t="s">
        <v>64</v>
      </c>
      <c r="C32" s="651"/>
      <c r="D32" s="651"/>
      <c r="E32" s="651">
        <f t="array" ref="E32">SUM(IF(A32=KHN,TH))</f>
        <v>0</v>
      </c>
      <c r="F32" s="651">
        <f t="array" ref="F32">SUM(IF(A32=KHC,TH))</f>
        <v>0</v>
      </c>
      <c r="G32" s="651">
        <f t="shared" si="3"/>
        <v>0</v>
      </c>
      <c r="H32" s="651">
        <f t="shared" si="4"/>
        <v>0</v>
      </c>
    </row>
    <row r="33" spans="1:12" s="161" customFormat="1" ht="17.25" customHeight="1">
      <c r="A33" s="638" t="s">
        <v>18</v>
      </c>
      <c r="B33" s="638" t="s">
        <v>65</v>
      </c>
      <c r="C33" s="639">
        <f>C32</f>
        <v>0</v>
      </c>
      <c r="D33" s="639">
        <f t="shared" ref="D33:H33" si="9">D32</f>
        <v>0</v>
      </c>
      <c r="E33" s="639">
        <f t="shared" si="9"/>
        <v>0</v>
      </c>
      <c r="F33" s="639">
        <f t="shared" si="9"/>
        <v>0</v>
      </c>
      <c r="G33" s="639">
        <f t="shared" si="9"/>
        <v>0</v>
      </c>
      <c r="H33" s="639">
        <f t="shared" si="9"/>
        <v>0</v>
      </c>
    </row>
    <row r="34" spans="1:12" s="161" customFormat="1" ht="17.25" customHeight="1">
      <c r="A34" s="642" t="s">
        <v>66</v>
      </c>
      <c r="B34" s="642" t="s">
        <v>67</v>
      </c>
      <c r="C34" s="643">
        <f>C30+C33+C31+C29</f>
        <v>0</v>
      </c>
      <c r="D34" s="643">
        <f t="shared" ref="D34:H34" si="10">D30+D33+D31+D29</f>
        <v>0</v>
      </c>
      <c r="E34" s="643">
        <f t="shared" si="10"/>
        <v>60146238</v>
      </c>
      <c r="F34" s="643">
        <f t="shared" si="10"/>
        <v>60146238</v>
      </c>
      <c r="G34" s="643">
        <f t="shared" si="10"/>
        <v>0</v>
      </c>
      <c r="H34" s="643">
        <f t="shared" si="10"/>
        <v>0</v>
      </c>
    </row>
    <row r="35" spans="1:12" s="161" customFormat="1" ht="17.25" customHeight="1">
      <c r="A35" s="638" t="s">
        <v>262</v>
      </c>
      <c r="B35" s="638" t="s">
        <v>263</v>
      </c>
      <c r="C35" s="639">
        <v>0</v>
      </c>
      <c r="D35" s="639">
        <v>0</v>
      </c>
      <c r="E35" s="639">
        <f t="array" ref="E35">SUM(IF(A35=KHN,TH))</f>
        <v>0</v>
      </c>
      <c r="F35" s="639">
        <f t="array" ref="F35">SUM(IF(A35=KHC,TH))</f>
        <v>0</v>
      </c>
      <c r="G35" s="639">
        <f t="shared" ref="G35:G37" si="11">MAX(C35+E35-D35-F35,0)</f>
        <v>0</v>
      </c>
      <c r="H35" s="639">
        <f t="shared" ref="H35:H37" si="12">MAX(D35+F35-E35-C35,0)</f>
        <v>0</v>
      </c>
    </row>
    <row r="36" spans="1:12" s="161" customFormat="1" ht="17.25" customHeight="1">
      <c r="A36" s="642" t="s">
        <v>264</v>
      </c>
      <c r="B36" s="642" t="s">
        <v>265</v>
      </c>
      <c r="C36" s="643">
        <f>C35</f>
        <v>0</v>
      </c>
      <c r="D36" s="643">
        <f>D35</f>
        <v>0</v>
      </c>
      <c r="E36" s="643">
        <f>E35</f>
        <v>0</v>
      </c>
      <c r="F36" s="643">
        <f>F35</f>
        <v>0</v>
      </c>
      <c r="G36" s="643">
        <f t="shared" si="11"/>
        <v>0</v>
      </c>
      <c r="H36" s="643">
        <f t="shared" si="12"/>
        <v>0</v>
      </c>
    </row>
    <row r="37" spans="1:12" s="161" customFormat="1" ht="17.25" customHeight="1">
      <c r="A37" s="638" t="s">
        <v>17</v>
      </c>
      <c r="B37" s="638" t="s">
        <v>68</v>
      </c>
      <c r="C37" s="639"/>
      <c r="D37" s="639"/>
      <c r="E37" s="639">
        <f t="array" ref="E37">SUM(IF(A37=KHN,TH))</f>
        <v>0</v>
      </c>
      <c r="F37" s="639">
        <f t="array" ref="F37">SUM(IF(A37=KHC,TH))</f>
        <v>0</v>
      </c>
      <c r="G37" s="639">
        <f t="shared" si="11"/>
        <v>0</v>
      </c>
      <c r="H37" s="639">
        <f t="shared" si="12"/>
        <v>0</v>
      </c>
    </row>
    <row r="38" spans="1:12" s="161" customFormat="1" ht="17.25" customHeight="1">
      <c r="A38" s="642" t="s">
        <v>69</v>
      </c>
      <c r="B38" s="642" t="s">
        <v>70</v>
      </c>
      <c r="C38" s="643">
        <f t="shared" ref="C38:H38" si="13">SUM(C37:C37)</f>
        <v>0</v>
      </c>
      <c r="D38" s="643">
        <f t="shared" si="13"/>
        <v>0</v>
      </c>
      <c r="E38" s="643">
        <f t="shared" si="13"/>
        <v>0</v>
      </c>
      <c r="F38" s="643">
        <f t="shared" si="13"/>
        <v>0</v>
      </c>
      <c r="G38" s="643">
        <f t="shared" si="13"/>
        <v>0</v>
      </c>
      <c r="H38" s="643">
        <f t="shared" si="13"/>
        <v>0</v>
      </c>
    </row>
    <row r="39" spans="1:12" s="896" customFormat="1" ht="13.5">
      <c r="A39" s="892" t="s">
        <v>478</v>
      </c>
      <c r="B39" s="893" t="s">
        <v>479</v>
      </c>
      <c r="C39" s="894"/>
      <c r="D39" s="894"/>
      <c r="E39" s="895">
        <f t="array" ref="E39">SUM(IF(A39=KHN,TH))</f>
        <v>0</v>
      </c>
      <c r="F39" s="895">
        <f t="array" ref="F39">SUM(IF(A39=KHC,TH))</f>
        <v>0</v>
      </c>
      <c r="G39" s="894">
        <f>MAX(C39+E39-D39-F39,0)</f>
        <v>0</v>
      </c>
      <c r="H39" s="894">
        <f>MAX(D39+F39-E39-C39,0)</f>
        <v>0</v>
      </c>
    </row>
    <row r="40" spans="1:12" s="896" customFormat="1" ht="13.5">
      <c r="A40" s="892" t="s">
        <v>480</v>
      </c>
      <c r="B40" s="893" t="s">
        <v>481</v>
      </c>
      <c r="C40" s="895"/>
      <c r="D40" s="895"/>
      <c r="E40" s="895">
        <f t="array" ref="E40">SUM(IF(A40=KHN,TH))</f>
        <v>0</v>
      </c>
      <c r="F40" s="895">
        <f t="array" ref="F40">SUM(IF(A40=KHC,TH))</f>
        <v>0</v>
      </c>
      <c r="G40" s="895">
        <f>MAX(C40+E40-D40-F40,0)</f>
        <v>0</v>
      </c>
      <c r="H40" s="895">
        <f>MAX(D40+F40-E40-C40,0)</f>
        <v>0</v>
      </c>
    </row>
    <row r="41" spans="1:12" s="896" customFormat="1" ht="13.5">
      <c r="A41" s="897" t="s">
        <v>476</v>
      </c>
      <c r="B41" s="898" t="s">
        <v>482</v>
      </c>
      <c r="C41" s="899">
        <f t="shared" ref="C41:H41" si="14">SUM(C39:C40)</f>
        <v>0</v>
      </c>
      <c r="D41" s="899">
        <f t="shared" si="14"/>
        <v>0</v>
      </c>
      <c r="E41" s="899">
        <f t="shared" si="14"/>
        <v>0</v>
      </c>
      <c r="F41" s="899">
        <f t="shared" si="14"/>
        <v>0</v>
      </c>
      <c r="G41" s="899">
        <f t="shared" si="14"/>
        <v>0</v>
      </c>
      <c r="H41" s="899">
        <f t="shared" si="14"/>
        <v>0</v>
      </c>
    </row>
    <row r="42" spans="1:12" s="161" customFormat="1" ht="17.25" customHeight="1">
      <c r="A42" s="638" t="s">
        <v>25</v>
      </c>
      <c r="B42" s="638" t="s">
        <v>71</v>
      </c>
      <c r="C42" s="639"/>
      <c r="D42" s="639"/>
      <c r="E42" s="639">
        <f t="array" ref="E42">SUM(IF(A42=KHN,TH))</f>
        <v>0</v>
      </c>
      <c r="F42" s="639">
        <f t="array" ref="F42">SUM(IF(A42=KHC,TH))</f>
        <v>0</v>
      </c>
      <c r="G42" s="640">
        <f>MAX(C42+E42-D42-F42,0)</f>
        <v>0</v>
      </c>
      <c r="H42" s="640">
        <f>MAX(D42+F42-E42-C42,0)</f>
        <v>0</v>
      </c>
    </row>
    <row r="43" spans="1:12" s="161" customFormat="1" ht="17.25" customHeight="1">
      <c r="A43" s="642" t="s">
        <v>72</v>
      </c>
      <c r="B43" s="642" t="s">
        <v>73</v>
      </c>
      <c r="C43" s="643">
        <v>0</v>
      </c>
      <c r="D43" s="643">
        <f>D42</f>
        <v>0</v>
      </c>
      <c r="E43" s="643">
        <f>E42</f>
        <v>0</v>
      </c>
      <c r="F43" s="643">
        <f>F42</f>
        <v>0</v>
      </c>
      <c r="G43" s="643">
        <f>MAX(C43+E43-D43-F43,0)</f>
        <v>0</v>
      </c>
      <c r="H43" s="643">
        <f>MAX(D43+F43-E43-C43,0)</f>
        <v>0</v>
      </c>
    </row>
    <row r="44" spans="1:12" s="161" customFormat="1" ht="17.25" customHeight="1">
      <c r="A44" s="637" t="s">
        <v>74</v>
      </c>
      <c r="B44" s="638" t="s">
        <v>75</v>
      </c>
      <c r="C44" s="639"/>
      <c r="D44" s="639"/>
      <c r="E44" s="639">
        <f t="array" ref="E44">SUM(IF(A44=KHN,TH))</f>
        <v>0</v>
      </c>
      <c r="F44" s="639">
        <f t="array" ref="F44">SUM(IF(A44=KHC,TH))</f>
        <v>0</v>
      </c>
      <c r="G44" s="640">
        <f>MAX(C44+E44-D44-F44,0)</f>
        <v>0</v>
      </c>
      <c r="H44" s="640">
        <f>MAX(D44+F44-E44-C44,0)</f>
        <v>0</v>
      </c>
    </row>
    <row r="45" spans="1:12" s="161" customFormat="1" ht="17.25" customHeight="1">
      <c r="A45" s="638" t="s">
        <v>76</v>
      </c>
      <c r="B45" s="638" t="s">
        <v>77</v>
      </c>
      <c r="C45" s="639"/>
      <c r="D45" s="639"/>
      <c r="E45" s="639">
        <f t="array" ref="E45">SUM(IF(A45=TH!$L$10:$L$977,TH!$K$10:$K$977))</f>
        <v>0</v>
      </c>
      <c r="F45" s="639">
        <f t="array" ref="F45">SUM(IF(A45=TH!$M$10:$M$977,TH!$K$10:$K$977))</f>
        <v>0</v>
      </c>
      <c r="G45" s="639">
        <f>MAX(C45+E45-D45-F45,0)</f>
        <v>0</v>
      </c>
      <c r="H45" s="639">
        <f>MAX(D45+F45-E45-C45,0)</f>
        <v>0</v>
      </c>
      <c r="J45" s="292">
        <f>L45-H45</f>
        <v>-273269946</v>
      </c>
      <c r="L45" s="161">
        <v>-273269946</v>
      </c>
    </row>
    <row r="46" spans="1:12" s="161" customFormat="1" ht="17.25" customHeight="1">
      <c r="A46" s="642" t="s">
        <v>78</v>
      </c>
      <c r="B46" s="642" t="s">
        <v>79</v>
      </c>
      <c r="C46" s="643">
        <f t="shared" ref="C46:H46" si="15">C45+C44</f>
        <v>0</v>
      </c>
      <c r="D46" s="643">
        <f t="shared" si="15"/>
        <v>0</v>
      </c>
      <c r="E46" s="643">
        <f t="shared" si="15"/>
        <v>0</v>
      </c>
      <c r="F46" s="643">
        <f t="shared" si="15"/>
        <v>0</v>
      </c>
      <c r="G46" s="643">
        <f t="shared" si="15"/>
        <v>0</v>
      </c>
      <c r="H46" s="643">
        <f t="shared" si="15"/>
        <v>0</v>
      </c>
    </row>
    <row r="47" spans="1:12" s="161" customFormat="1" ht="17.25" customHeight="1">
      <c r="A47" s="637" t="s">
        <v>174</v>
      </c>
      <c r="B47" s="638" t="s">
        <v>175</v>
      </c>
      <c r="C47" s="639"/>
      <c r="D47" s="639"/>
      <c r="E47" s="639">
        <f t="array" ref="E47">SUM(IF(A47=KHN,TH))</f>
        <v>601462387</v>
      </c>
      <c r="F47" s="639">
        <f t="array" ref="F47">SUM(IF(A47=KHC,TH))</f>
        <v>601462387</v>
      </c>
      <c r="G47" s="640"/>
      <c r="H47" s="640"/>
      <c r="I47" s="161">
        <f>E47-F47</f>
        <v>0</v>
      </c>
    </row>
    <row r="48" spans="1:12" s="161" customFormat="1" ht="17.25" customHeight="1">
      <c r="A48" s="642" t="s">
        <v>176</v>
      </c>
      <c r="B48" s="642" t="s">
        <v>177</v>
      </c>
      <c r="C48" s="643"/>
      <c r="D48" s="643"/>
      <c r="E48" s="643">
        <f>E47</f>
        <v>601462387</v>
      </c>
      <c r="F48" s="643">
        <f>F47</f>
        <v>601462387</v>
      </c>
      <c r="G48" s="643"/>
      <c r="H48" s="643"/>
      <c r="I48" s="161">
        <f>E48-F48</f>
        <v>0</v>
      </c>
    </row>
    <row r="49" spans="1:9" s="161" customFormat="1" ht="17.25" customHeight="1">
      <c r="A49" s="642" t="s">
        <v>40</v>
      </c>
      <c r="B49" s="642" t="s">
        <v>80</v>
      </c>
      <c r="C49" s="643"/>
      <c r="D49" s="643"/>
      <c r="E49" s="644">
        <f t="array" ref="E49">SUM(IF(A49=KHN,TH))</f>
        <v>8425</v>
      </c>
      <c r="F49" s="644">
        <f t="array" ref="F49">SUM(IF(A49=KHC,TH))</f>
        <v>8425</v>
      </c>
      <c r="G49" s="643"/>
      <c r="H49" s="643"/>
      <c r="I49" s="161">
        <f t="shared" ref="I49:I57" si="16">E49-F49</f>
        <v>0</v>
      </c>
    </row>
    <row r="50" spans="1:9" s="161" customFormat="1" ht="17.25" customHeight="1">
      <c r="A50" s="642" t="s">
        <v>172</v>
      </c>
      <c r="B50" s="642" t="s">
        <v>173</v>
      </c>
      <c r="C50" s="643"/>
      <c r="D50" s="643"/>
      <c r="E50" s="644">
        <f t="array" ref="E50">SUM(IF(A50=KHN,TH))</f>
        <v>0</v>
      </c>
      <c r="F50" s="644">
        <f t="array" ref="F50">SUM(IF(A50=KHC,TH))</f>
        <v>0</v>
      </c>
      <c r="G50" s="643"/>
      <c r="H50" s="643"/>
      <c r="I50" s="161">
        <f t="shared" si="16"/>
        <v>0</v>
      </c>
    </row>
    <row r="51" spans="1:9" s="161" customFormat="1" ht="17.25" customHeight="1">
      <c r="A51" s="642" t="s">
        <v>81</v>
      </c>
      <c r="B51" s="642" t="s">
        <v>82</v>
      </c>
      <c r="C51" s="643"/>
      <c r="D51" s="643"/>
      <c r="E51" s="644">
        <f t="array" ref="E51">SUM(IF(A51=KHN,TH))</f>
        <v>0</v>
      </c>
      <c r="F51" s="644">
        <f t="array" ref="F51">SUM(IF(A51=KHC,TH))</f>
        <v>0</v>
      </c>
      <c r="G51" s="643"/>
      <c r="H51" s="643"/>
      <c r="I51" s="161">
        <f t="shared" si="16"/>
        <v>0</v>
      </c>
    </row>
    <row r="52" spans="1:9" s="161" customFormat="1" ht="17.25" customHeight="1">
      <c r="A52" s="648" t="s">
        <v>261</v>
      </c>
      <c r="B52" s="642" t="s">
        <v>329</v>
      </c>
      <c r="C52" s="643"/>
      <c r="D52" s="643"/>
      <c r="E52" s="644">
        <f t="array" ref="E52">SUM(IF(A52=KHN,TH))</f>
        <v>10390525</v>
      </c>
      <c r="F52" s="644">
        <f t="array" ref="F52">SUM(IF(A52=KHC,TH))</f>
        <v>10390525</v>
      </c>
      <c r="G52" s="643"/>
      <c r="H52" s="643"/>
      <c r="I52" s="161">
        <f>E52-F52</f>
        <v>0</v>
      </c>
    </row>
    <row r="53" spans="1:9" s="161" customFormat="1" ht="17.25" customHeight="1">
      <c r="A53" s="642" t="s">
        <v>83</v>
      </c>
      <c r="B53" s="642" t="s">
        <v>84</v>
      </c>
      <c r="C53" s="643"/>
      <c r="D53" s="643"/>
      <c r="E53" s="644">
        <f t="array" ref="E53">SUM(IF(A53=KHN,TH))</f>
        <v>100723510</v>
      </c>
      <c r="F53" s="644">
        <f t="array" ref="F53">SUM(IF(A53=KHC,TH))</f>
        <v>100723510</v>
      </c>
      <c r="G53" s="643"/>
      <c r="H53" s="643"/>
      <c r="I53" s="161">
        <f t="shared" si="16"/>
        <v>0</v>
      </c>
    </row>
    <row r="54" spans="1:9" s="161" customFormat="1" ht="17.25" customHeight="1">
      <c r="A54" s="648" t="s">
        <v>85</v>
      </c>
      <c r="B54" s="642" t="s">
        <v>86</v>
      </c>
      <c r="C54" s="643"/>
      <c r="D54" s="643"/>
      <c r="E54" s="644">
        <f t="array" ref="E54">SUM(IF(A54=KHN,TH))</f>
        <v>0</v>
      </c>
      <c r="F54" s="644">
        <f t="array" ref="F54">SUM(IF(A54=KHC,TH))</f>
        <v>0</v>
      </c>
      <c r="G54" s="643"/>
      <c r="H54" s="643"/>
      <c r="I54" s="161">
        <f t="shared" si="16"/>
        <v>0</v>
      </c>
    </row>
    <row r="55" spans="1:9" s="161" customFormat="1" ht="17.25" customHeight="1">
      <c r="A55" s="642" t="s">
        <v>87</v>
      </c>
      <c r="B55" s="642" t="s">
        <v>88</v>
      </c>
      <c r="C55" s="643"/>
      <c r="D55" s="643"/>
      <c r="E55" s="644">
        <f t="array" ref="E55">SUM(IF(A55=KHN,TH))</f>
        <v>0</v>
      </c>
      <c r="F55" s="644">
        <f t="array" ref="F55">SUM(IF(A55=KHC,TH))</f>
        <v>0</v>
      </c>
      <c r="G55" s="643"/>
      <c r="H55" s="643"/>
      <c r="I55" s="161">
        <f t="shared" si="16"/>
        <v>0</v>
      </c>
    </row>
    <row r="56" spans="1:9" s="161" customFormat="1" ht="17.25" customHeight="1">
      <c r="A56" s="648" t="s">
        <v>89</v>
      </c>
      <c r="B56" s="642" t="s">
        <v>90</v>
      </c>
      <c r="C56" s="643"/>
      <c r="D56" s="643"/>
      <c r="E56" s="644">
        <f t="array" ref="E56">SUM(IF(A56=KHN,TH))</f>
        <v>0</v>
      </c>
      <c r="F56" s="644">
        <f t="array" ref="F56">SUM(IF(A56=KHC,TH))</f>
        <v>0</v>
      </c>
      <c r="G56" s="643"/>
      <c r="H56" s="643"/>
      <c r="I56" s="161">
        <f t="shared" si="16"/>
        <v>0</v>
      </c>
    </row>
    <row r="57" spans="1:9" s="161" customFormat="1" ht="17.25" customHeight="1">
      <c r="A57" s="642" t="s">
        <v>91</v>
      </c>
      <c r="B57" s="642" t="s">
        <v>92</v>
      </c>
      <c r="C57" s="643"/>
      <c r="D57" s="643"/>
      <c r="E57" s="652">
        <f t="array" ref="E57">SUM(IF(A57=KHN,TH))</f>
        <v>111114035</v>
      </c>
      <c r="F57" s="652">
        <f t="array" ref="F57">SUM(IF(A57=TH!$M$10:$M$977,TH!$K$10:$K$977))</f>
        <v>601470812</v>
      </c>
      <c r="G57" s="643"/>
      <c r="H57" s="643"/>
      <c r="I57" s="161">
        <f t="shared" si="16"/>
        <v>-490356777</v>
      </c>
    </row>
    <row r="58" spans="1:9" s="161" customFormat="1" ht="17.25" customHeight="1">
      <c r="A58" s="929" t="s">
        <v>39</v>
      </c>
      <c r="B58" s="930"/>
      <c r="C58" s="653">
        <f>C11+C13+C14+C16+C18+C21+C22+C23+C25+C27+C28+C34+C36+C38+C43+C46+C48+C49+C50+C51+C52+C53+C54+C55+C56+C57</f>
        <v>1800000000</v>
      </c>
      <c r="D58" s="653">
        <f t="shared" ref="D58:H58" si="17">D11+D13+D14+D16+D18+D21+D22+D23+D25+D27+D28+D34+D36+D38+D43+D46+D48+D49+D50+D51+D52+D53+D54+D55+D56+D57</f>
        <v>0</v>
      </c>
      <c r="E58" s="653">
        <f t="shared" si="17"/>
        <v>3514981350</v>
      </c>
      <c r="F58" s="653">
        <f t="shared" si="17"/>
        <v>3514981350</v>
      </c>
      <c r="G58" s="653">
        <f t="shared" si="17"/>
        <v>2710739027</v>
      </c>
      <c r="H58" s="653">
        <f t="shared" si="17"/>
        <v>420382250</v>
      </c>
    </row>
    <row r="59" spans="1:9">
      <c r="E59" s="654"/>
      <c r="F59" s="655"/>
    </row>
    <row r="60" spans="1:9">
      <c r="E60" s="655"/>
      <c r="H60" s="655">
        <f>G58-H58</f>
        <v>2290356777</v>
      </c>
    </row>
    <row r="61" spans="1:9">
      <c r="E61" s="656"/>
      <c r="F61" s="656"/>
    </row>
    <row r="62" spans="1:9">
      <c r="E62" s="656"/>
      <c r="F62" s="656"/>
    </row>
  </sheetData>
  <mergeCells count="6">
    <mergeCell ref="G8:H8"/>
    <mergeCell ref="A58:B58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G983"/>
  <sheetViews>
    <sheetView topLeftCell="A7" workbookViewId="0">
      <pane ySplit="3" topLeftCell="A10" activePane="bottomLeft" state="frozen"/>
      <selection activeCell="A7" sqref="A7"/>
      <selection pane="bottomLeft" activeCell="I57" sqref="I57:J57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413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414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1" t="s">
        <v>93</v>
      </c>
      <c r="D4" s="951"/>
      <c r="E4" s="951"/>
      <c r="F4" s="951"/>
      <c r="G4" s="951"/>
      <c r="H4" s="951"/>
      <c r="I4" s="951"/>
      <c r="J4" s="951"/>
      <c r="K4" s="951"/>
      <c r="L4" s="951"/>
      <c r="M4" s="951"/>
    </row>
    <row r="5" spans="1:28" ht="14.25">
      <c r="B5" s="41"/>
      <c r="C5" s="952"/>
      <c r="D5" s="952"/>
      <c r="E5" s="952"/>
      <c r="F5" s="952"/>
      <c r="G5" s="952"/>
      <c r="H5" s="952"/>
      <c r="I5" s="952"/>
      <c r="J5" s="952"/>
      <c r="K5" s="952"/>
      <c r="L5" s="952"/>
      <c r="M5" s="952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3" t="s">
        <v>117</v>
      </c>
      <c r="B7" s="935" t="s">
        <v>101</v>
      </c>
      <c r="C7" s="953" t="s">
        <v>20</v>
      </c>
      <c r="D7" s="954" t="s">
        <v>1</v>
      </c>
      <c r="E7" s="955"/>
      <c r="F7" s="953" t="s">
        <v>0</v>
      </c>
      <c r="G7" s="957" t="s">
        <v>116</v>
      </c>
      <c r="H7" s="937" t="s">
        <v>44</v>
      </c>
      <c r="I7" s="948" t="s">
        <v>258</v>
      </c>
      <c r="J7" s="949"/>
      <c r="K7" s="953" t="s">
        <v>157</v>
      </c>
      <c r="L7" s="956" t="s">
        <v>94</v>
      </c>
      <c r="M7" s="956"/>
      <c r="N7" s="940" t="s">
        <v>404</v>
      </c>
      <c r="O7" s="959" t="s">
        <v>476</v>
      </c>
      <c r="P7" s="942" t="s">
        <v>47</v>
      </c>
      <c r="Q7" s="943"/>
      <c r="R7" s="944"/>
      <c r="S7" s="942" t="s">
        <v>51</v>
      </c>
      <c r="T7" s="943"/>
      <c r="U7" s="944"/>
      <c r="V7" s="940" t="s">
        <v>403</v>
      </c>
      <c r="W7" s="938" t="str">
        <f>CTTK!$E$7</f>
        <v>642</v>
      </c>
      <c r="X7" s="950" t="s">
        <v>163</v>
      </c>
      <c r="Y7" s="950"/>
      <c r="Z7" s="950"/>
      <c r="AA7" s="950" t="s">
        <v>349</v>
      </c>
      <c r="AB7" s="798"/>
    </row>
    <row r="8" spans="1:28" ht="24.75" customHeight="1">
      <c r="A8" s="934"/>
      <c r="B8" s="936"/>
      <c r="C8" s="953"/>
      <c r="D8" s="201" t="s">
        <v>15</v>
      </c>
      <c r="E8" s="200" t="s">
        <v>32</v>
      </c>
      <c r="F8" s="953"/>
      <c r="G8" s="958"/>
      <c r="H8" s="937"/>
      <c r="I8" s="261" t="s">
        <v>203</v>
      </c>
      <c r="J8" s="261" t="s">
        <v>204</v>
      </c>
      <c r="K8" s="953"/>
      <c r="L8" s="202" t="s">
        <v>22</v>
      </c>
      <c r="M8" s="202" t="s">
        <v>23</v>
      </c>
      <c r="N8" s="941"/>
      <c r="O8" s="960"/>
      <c r="P8" s="945"/>
      <c r="Q8" s="946"/>
      <c r="R8" s="947"/>
      <c r="S8" s="945"/>
      <c r="T8" s="946"/>
      <c r="U8" s="947"/>
      <c r="V8" s="941"/>
      <c r="W8" s="939"/>
      <c r="X8" s="950"/>
      <c r="Y8" s="950"/>
      <c r="Z8" s="950"/>
      <c r="AA8" s="950"/>
      <c r="AB8" s="798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9"/>
    </row>
    <row r="10" spans="1:28" s="208" customFormat="1" ht="15.75" hidden="1" customHeight="1">
      <c r="A10" s="203" t="str">
        <f>IF(B10&lt;&gt;"",IF(AND(B10&gt;=_TM1,B10&lt;=_TM2,OR(TH!L10="1111",TH!M10="1111")),TH!D10,""),"")</f>
        <v/>
      </c>
      <c r="B10" s="36">
        <f t="shared" ref="B10:B21" si="0">IF(C10&lt;&gt;"",MONTH(C10),"")</f>
        <v>12</v>
      </c>
      <c r="C10" s="47">
        <f t="shared" ref="C10:C21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91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800"/>
    </row>
    <row r="11" spans="1:28" s="208" customFormat="1" ht="15.75" hidden="1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60146238</v>
      </c>
      <c r="L11" s="52" t="s">
        <v>370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91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800"/>
    </row>
    <row r="12" spans="1:28" s="208" customFormat="1" ht="15.75" hidden="1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91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800"/>
    </row>
    <row r="13" spans="1:28" s="208" customFormat="1" ht="15.75" hidden="1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91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800"/>
    </row>
    <row r="14" spans="1:28" s="208" customFormat="1" ht="15.75" hidden="1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417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91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800"/>
    </row>
    <row r="15" spans="1:28" s="208" customFormat="1" ht="15.75" hidden="1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10390525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91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800"/>
    </row>
    <row r="16" spans="1:28" s="208" customFormat="1" ht="15.75" hidden="1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100723510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91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800"/>
    </row>
    <row r="17" spans="1:31" s="208" customFormat="1" ht="15.75" hidden="1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8425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91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800"/>
    </row>
    <row r="18" spans="1:31" s="208" customFormat="1" ht="15.75" hidden="1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601462387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91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800"/>
    </row>
    <row r="19" spans="1:31" s="208" customFormat="1" ht="15.75" hidden="1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91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800"/>
    </row>
    <row r="20" spans="1:31" s="208" customFormat="1" ht="15.75" hidden="1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91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800"/>
    </row>
    <row r="21" spans="1:31" s="208" customFormat="1" ht="15.75" hidden="1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416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91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800"/>
    </row>
    <row r="22" spans="1:31" s="589" customFormat="1" ht="15.75" hidden="1" customHeight="1">
      <c r="A22" s="203" t="str">
        <f>IF(B22&lt;&gt;"",IF(AND(B22&gt;=_TM1,B22&lt;=_TM2,OR(TH!L22="1111",TH!M22="1111")),TH!D22,""),"")</f>
        <v/>
      </c>
      <c r="B22" s="36">
        <f t="shared" ref="B22:B55" si="3">IF(C22&lt;&gt;"",MONTH(C22),"")</f>
        <v>6</v>
      </c>
      <c r="C22" s="183">
        <f t="shared" ref="C22:C31" si="4">E22</f>
        <v>42529</v>
      </c>
      <c r="D22" s="190" t="s">
        <v>487</v>
      </c>
      <c r="E22" s="183">
        <v>42529</v>
      </c>
      <c r="F22" s="188" t="s">
        <v>490</v>
      </c>
      <c r="G22" s="481" t="s">
        <v>438</v>
      </c>
      <c r="H22" s="7" t="s">
        <v>483</v>
      </c>
      <c r="I22" s="255">
        <v>10288</v>
      </c>
      <c r="J22" s="255">
        <v>7500</v>
      </c>
      <c r="K22" s="37">
        <f>ROUND(I22*J22,0)</f>
        <v>77160000</v>
      </c>
      <c r="L22" s="193" t="s">
        <v>159</v>
      </c>
      <c r="M22" s="193" t="s">
        <v>8</v>
      </c>
      <c r="N22" s="51" t="str">
        <f>IF(AND('331-CT'!$E$7=TH!H22,OR(L22="331",M22="331")),"331",IF(AND(OR(L22="131",M22="131"),H22='131-CT'!$E$7),"131",""))</f>
        <v/>
      </c>
      <c r="O22" s="891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/>
      </c>
      <c r="AB22" s="923">
        <v>3</v>
      </c>
    </row>
    <row r="23" spans="1:31" s="589" customFormat="1" ht="15.75" hidden="1" customHeight="1">
      <c r="A23" s="203" t="str">
        <f>IF(B23&lt;&gt;"",IF(AND(B23&gt;=_TM1,B23&lt;=_TM2,OR(TH!L23="1111",TH!M23="1111")),TH!D23,""),"")</f>
        <v/>
      </c>
      <c r="B23" s="36">
        <f t="shared" si="3"/>
        <v>6</v>
      </c>
      <c r="C23" s="183">
        <f t="shared" si="4"/>
        <v>42529</v>
      </c>
      <c r="D23" s="190" t="s">
        <v>487</v>
      </c>
      <c r="E23" s="183">
        <v>42529</v>
      </c>
      <c r="F23" s="191" t="s">
        <v>439</v>
      </c>
      <c r="G23" s="481" t="s">
        <v>438</v>
      </c>
      <c r="H23" s="7" t="s">
        <v>483</v>
      </c>
      <c r="I23" s="255"/>
      <c r="J23" s="255"/>
      <c r="K23" s="597">
        <v>7716000</v>
      </c>
      <c r="L23" s="193" t="s">
        <v>9</v>
      </c>
      <c r="M23" s="193" t="s">
        <v>8</v>
      </c>
      <c r="N23" s="51" t="str">
        <f>IF(AND('331-CT'!$E$7=TH!H23,OR(L23="331",M23="331")),"331",IF(AND(OR(L23="131",M23="131"),H23='131-CT'!$E$7),"131",""))</f>
        <v/>
      </c>
      <c r="O23" s="891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  <c r="AB23" s="923">
        <v>3</v>
      </c>
    </row>
    <row r="24" spans="1:31" s="589" customFormat="1" ht="15.75" hidden="1" customHeight="1">
      <c r="A24" s="203" t="str">
        <f>IF(B24&lt;&gt;"",IF(AND(B24&gt;=_TM1,B24&lt;=_TM2,OR(TH!L24="1111",TH!M24="1111")),TH!D24,""),"")</f>
        <v/>
      </c>
      <c r="B24" s="36">
        <f t="shared" si="3"/>
        <v>6</v>
      </c>
      <c r="C24" s="183">
        <f t="shared" si="4"/>
        <v>42542</v>
      </c>
      <c r="D24" s="190" t="s">
        <v>488</v>
      </c>
      <c r="E24" s="183">
        <v>42542</v>
      </c>
      <c r="F24" s="188" t="s">
        <v>490</v>
      </c>
      <c r="G24" s="481" t="s">
        <v>491</v>
      </c>
      <c r="H24" s="7" t="s">
        <v>484</v>
      </c>
      <c r="I24" s="255">
        <v>4094</v>
      </c>
      <c r="J24" s="255">
        <v>7600</v>
      </c>
      <c r="K24" s="37">
        <f>ROUND(I24*J24,0)</f>
        <v>31114400</v>
      </c>
      <c r="L24" s="193" t="s">
        <v>159</v>
      </c>
      <c r="M24" s="193" t="s">
        <v>8</v>
      </c>
      <c r="N24" s="51" t="str">
        <f>IF(AND('331-CT'!$E$7=TH!H24,OR(L24="331",M24="331")),"331",IF(AND(OR(L24="131",M24="131"),H24='131-CT'!$E$7),"131",""))</f>
        <v/>
      </c>
      <c r="O24" s="891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/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/>
      </c>
      <c r="AB24" s="923">
        <v>3</v>
      </c>
    </row>
    <row r="25" spans="1:31" s="210" customFormat="1" ht="15.75" hidden="1" customHeight="1">
      <c r="A25" s="203" t="str">
        <f>IF(B25&lt;&gt;"",IF(AND(B25&gt;=_TM1,B25&lt;=_TM2,OR(TH!L25="1111",TH!M25="1111")),TH!D25,""),"")</f>
        <v/>
      </c>
      <c r="B25" s="36">
        <f t="shared" si="3"/>
        <v>6</v>
      </c>
      <c r="C25" s="183">
        <f t="shared" si="4"/>
        <v>42542</v>
      </c>
      <c r="D25" s="190" t="s">
        <v>488</v>
      </c>
      <c r="E25" s="183">
        <v>42542</v>
      </c>
      <c r="F25" s="188" t="s">
        <v>492</v>
      </c>
      <c r="G25" s="481" t="s">
        <v>491</v>
      </c>
      <c r="H25" s="7" t="s">
        <v>484</v>
      </c>
      <c r="I25" s="255">
        <v>4522</v>
      </c>
      <c r="J25" s="255">
        <v>8500</v>
      </c>
      <c r="K25" s="37">
        <f>ROUND(I25*J25,0)</f>
        <v>38437000</v>
      </c>
      <c r="L25" s="193" t="s">
        <v>159</v>
      </c>
      <c r="M25" s="193" t="s">
        <v>8</v>
      </c>
      <c r="N25" s="51" t="str">
        <f>IF(AND('331-CT'!$E$7=TH!H25,OR(L25="331",M25="331")),"331",IF(AND(OR(L25="131",M25="131"),H25='131-CT'!$E$7),"131",""))</f>
        <v/>
      </c>
      <c r="O25" s="891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/>
      </c>
      <c r="AB25" s="923">
        <v>3</v>
      </c>
      <c r="AC25" s="589"/>
      <c r="AD25" s="589"/>
      <c r="AE25" s="589"/>
    </row>
    <row r="26" spans="1:31" s="210" customFormat="1" ht="15.75" hidden="1" customHeight="1">
      <c r="A26" s="203" t="str">
        <f>IF(B26&lt;&gt;"",IF(AND(B26&gt;=_TM1,B26&lt;=_TM2,OR(TH!L26="1111",TH!M26="1111")),TH!D26,""),"")</f>
        <v/>
      </c>
      <c r="B26" s="36">
        <f t="shared" si="3"/>
        <v>6</v>
      </c>
      <c r="C26" s="183">
        <f t="shared" si="4"/>
        <v>42542</v>
      </c>
      <c r="D26" s="190" t="s">
        <v>488</v>
      </c>
      <c r="E26" s="183">
        <v>42542</v>
      </c>
      <c r="F26" s="188" t="s">
        <v>537</v>
      </c>
      <c r="G26" s="481" t="s">
        <v>491</v>
      </c>
      <c r="H26" s="7" t="s">
        <v>484</v>
      </c>
      <c r="I26" s="255">
        <v>2633</v>
      </c>
      <c r="J26" s="255">
        <v>8500</v>
      </c>
      <c r="K26" s="37">
        <f>ROUND(I26*J26,0)</f>
        <v>22380500</v>
      </c>
      <c r="L26" s="193" t="s">
        <v>159</v>
      </c>
      <c r="M26" s="193" t="s">
        <v>8</v>
      </c>
      <c r="N26" s="51" t="str">
        <f>IF(AND('331-CT'!$E$7=TH!H26,OR(L26="331",M26="331")),"331",IF(AND(OR(L26="131",M26="131"),H26='131-CT'!$E$7),"131",""))</f>
        <v/>
      </c>
      <c r="O26" s="891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/>
      </c>
      <c r="AB26" s="923">
        <v>3</v>
      </c>
      <c r="AC26" s="589"/>
      <c r="AD26" s="589"/>
      <c r="AE26" s="589"/>
    </row>
    <row r="27" spans="1:31" s="589" customFormat="1" ht="15.75" hidden="1" customHeight="1">
      <c r="A27" s="203" t="str">
        <f>IF(B27&lt;&gt;"",IF(AND(B27&gt;=_TM1,B27&lt;=_TM2,OR(TH!L27="1111",TH!M27="1111")),TH!D27,""),"")</f>
        <v/>
      </c>
      <c r="B27" s="36">
        <f t="shared" si="3"/>
        <v>6</v>
      </c>
      <c r="C27" s="183">
        <f t="shared" si="4"/>
        <v>42542</v>
      </c>
      <c r="D27" s="190" t="s">
        <v>488</v>
      </c>
      <c r="E27" s="183">
        <v>42542</v>
      </c>
      <c r="F27" s="188" t="s">
        <v>485</v>
      </c>
      <c r="G27" s="481" t="s">
        <v>491</v>
      </c>
      <c r="H27" s="7" t="s">
        <v>484</v>
      </c>
      <c r="I27" s="255"/>
      <c r="J27" s="255"/>
      <c r="K27" s="597">
        <v>9193190</v>
      </c>
      <c r="L27" s="193" t="s">
        <v>9</v>
      </c>
      <c r="M27" s="193" t="s">
        <v>8</v>
      </c>
      <c r="N27" s="51" t="str">
        <f>IF(AND('331-CT'!$E$7=TH!H27,OR(L27="331",M27="331")),"331",IF(AND(OR(L27="131",M27="131"),H27='131-CT'!$E$7),"131",""))</f>
        <v/>
      </c>
      <c r="O27" s="891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/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/>
      </c>
      <c r="AB27" s="923">
        <v>3</v>
      </c>
    </row>
    <row r="28" spans="1:31" s="589" customFormat="1" ht="15.75" hidden="1" customHeight="1">
      <c r="A28" s="203" t="str">
        <f>IF(B28&lt;&gt;"",IF(AND(B28&gt;=_TM1,B28&lt;=_TM2,OR(TH!L28="1111",TH!M28="1111")),TH!D28,""),"")</f>
        <v/>
      </c>
      <c r="B28" s="36">
        <f t="shared" si="3"/>
        <v>6</v>
      </c>
      <c r="C28" s="183">
        <f t="shared" si="4"/>
        <v>42551</v>
      </c>
      <c r="D28" s="190" t="s">
        <v>489</v>
      </c>
      <c r="E28" s="183">
        <v>42551</v>
      </c>
      <c r="F28" s="188" t="s">
        <v>490</v>
      </c>
      <c r="G28" s="481" t="s">
        <v>493</v>
      </c>
      <c r="H28" s="7" t="s">
        <v>484</v>
      </c>
      <c r="I28" s="255">
        <v>6226</v>
      </c>
      <c r="J28" s="255">
        <v>7600</v>
      </c>
      <c r="K28" s="37">
        <f>ROUND(I28*J28,0)</f>
        <v>47317600</v>
      </c>
      <c r="L28" s="193" t="s">
        <v>159</v>
      </c>
      <c r="M28" s="193" t="s">
        <v>8</v>
      </c>
      <c r="N28" s="51" t="str">
        <f>IF(AND('331-CT'!$E$7=TH!H28,OR(L28="331",M28="331")),"331",IF(AND(OR(L28="131",M28="131"),H28='131-CT'!$E$7),"131",""))</f>
        <v/>
      </c>
      <c r="O28" s="891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/>
      </c>
      <c r="AB28" s="923">
        <v>3</v>
      </c>
    </row>
    <row r="29" spans="1:31" s="589" customFormat="1" ht="15.75" hidden="1" customHeight="1">
      <c r="A29" s="203" t="str">
        <f>IF(B29&lt;&gt;"",IF(AND(B29&gt;=_TM1,B29&lt;=_TM2,OR(TH!L29="1111",TH!M29="1111")),TH!D29,""),"")</f>
        <v/>
      </c>
      <c r="B29" s="36">
        <f t="shared" si="3"/>
        <v>6</v>
      </c>
      <c r="C29" s="183">
        <f t="shared" si="4"/>
        <v>42551</v>
      </c>
      <c r="D29" s="190" t="s">
        <v>489</v>
      </c>
      <c r="E29" s="183">
        <v>42551</v>
      </c>
      <c r="F29" s="188" t="s">
        <v>492</v>
      </c>
      <c r="G29" s="481" t="s">
        <v>493</v>
      </c>
      <c r="H29" s="7" t="s">
        <v>484</v>
      </c>
      <c r="I29" s="255">
        <v>8730</v>
      </c>
      <c r="J29" s="255">
        <v>8500</v>
      </c>
      <c r="K29" s="37">
        <f>ROUND(I29*J29,0)</f>
        <v>74205000</v>
      </c>
      <c r="L29" s="193" t="s">
        <v>159</v>
      </c>
      <c r="M29" s="193" t="s">
        <v>8</v>
      </c>
      <c r="N29" s="51" t="str">
        <f>IF(AND('331-CT'!$E$7=TH!H29,OR(L29="331",M29="331")),"331",IF(AND(OR(L29="131",M29="131"),H29='131-CT'!$E$7),"131",""))</f>
        <v/>
      </c>
      <c r="O29" s="891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/>
      </c>
      <c r="AB29" s="923">
        <v>3</v>
      </c>
    </row>
    <row r="30" spans="1:31" s="589" customFormat="1" ht="15.75" hidden="1" customHeight="1">
      <c r="A30" s="203" t="str">
        <f>IF(B30&lt;&gt;"",IF(AND(B30&gt;=_TM1,B30&lt;=_TM2,OR(TH!L30="1111",TH!M30="1111")),TH!D30,""),"")</f>
        <v/>
      </c>
      <c r="B30" s="36">
        <f t="shared" si="3"/>
        <v>6</v>
      </c>
      <c r="C30" s="183">
        <f t="shared" si="4"/>
        <v>42551</v>
      </c>
      <c r="D30" s="190" t="s">
        <v>489</v>
      </c>
      <c r="E30" s="183">
        <v>42551</v>
      </c>
      <c r="F30" s="188" t="s">
        <v>537</v>
      </c>
      <c r="G30" s="481" t="s">
        <v>493</v>
      </c>
      <c r="H30" s="7" t="s">
        <v>484</v>
      </c>
      <c r="I30" s="255">
        <v>8191</v>
      </c>
      <c r="J30" s="255">
        <v>8500</v>
      </c>
      <c r="K30" s="37">
        <f>ROUND(I30*J30,0)</f>
        <v>69623500</v>
      </c>
      <c r="L30" s="193" t="s">
        <v>159</v>
      </c>
      <c r="M30" s="193" t="s">
        <v>8</v>
      </c>
      <c r="N30" s="51" t="str">
        <f>IF(AND('331-CT'!$E$7=TH!H30,OR(L30="331",M30="331")),"331",IF(AND(OR(L30="131",M30="131"),H30='131-CT'!$E$7),"131",""))</f>
        <v/>
      </c>
      <c r="O30" s="891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/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/>
      </c>
      <c r="AB30" s="923">
        <v>3</v>
      </c>
    </row>
    <row r="31" spans="1:31" s="589" customFormat="1" ht="15.75" hidden="1" customHeight="1">
      <c r="A31" s="203" t="str">
        <f>IF(B31&lt;&gt;"",IF(AND(B31&gt;=_TM1,B31&lt;=_TM2,OR(TH!L31="1111",TH!M31="1111")),TH!D31,""),"")</f>
        <v/>
      </c>
      <c r="B31" s="36">
        <f t="shared" si="3"/>
        <v>6</v>
      </c>
      <c r="C31" s="183">
        <f t="shared" si="4"/>
        <v>42551</v>
      </c>
      <c r="D31" s="190" t="s">
        <v>489</v>
      </c>
      <c r="E31" s="183">
        <v>42551</v>
      </c>
      <c r="F31" s="191" t="s">
        <v>485</v>
      </c>
      <c r="G31" s="481" t="s">
        <v>493</v>
      </c>
      <c r="H31" s="7" t="s">
        <v>484</v>
      </c>
      <c r="I31" s="255"/>
      <c r="J31" s="255"/>
      <c r="K31" s="597">
        <v>19114610</v>
      </c>
      <c r="L31" s="193" t="s">
        <v>9</v>
      </c>
      <c r="M31" s="193" t="s">
        <v>8</v>
      </c>
      <c r="N31" s="51" t="str">
        <f>IF(AND('331-CT'!$E$7=TH!H31,OR(L31="331",M31="331")),"331",IF(AND(OR(L31="131",M31="131"),H31='131-CT'!$E$7),"131",""))</f>
        <v/>
      </c>
      <c r="O31" s="891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/>
      </c>
      <c r="AB31" s="923">
        <v>3</v>
      </c>
      <c r="AD31" s="210"/>
    </row>
    <row r="32" spans="1:31" s="589" customFormat="1" ht="15.75" hidden="1" customHeight="1">
      <c r="A32" s="203" t="str">
        <f>IF(B32&lt;&gt;"",IF(AND(B32&gt;=_TM1,B32&lt;=_TM2,OR(TH!L34="1111",TH!M34="1111")),TH!D34,""),"")</f>
        <v/>
      </c>
      <c r="B32" s="36">
        <f t="shared" si="3"/>
        <v>7</v>
      </c>
      <c r="C32" s="183">
        <v>42552</v>
      </c>
      <c r="D32" s="183" t="s">
        <v>539</v>
      </c>
      <c r="E32" s="183">
        <v>42508</v>
      </c>
      <c r="F32" s="188" t="s">
        <v>503</v>
      </c>
      <c r="G32" s="479" t="s">
        <v>502</v>
      </c>
      <c r="H32" s="192" t="s">
        <v>501</v>
      </c>
      <c r="I32" s="255"/>
      <c r="J32" s="255"/>
      <c r="K32" s="597">
        <v>2160000</v>
      </c>
      <c r="L32" s="598" t="s">
        <v>83</v>
      </c>
      <c r="M32" s="598" t="s">
        <v>47</v>
      </c>
      <c r="N32" s="51" t="str">
        <f>IF(AND('331-CT'!$E$7=TH!H34,OR(L32="331",M32="331")),"331",IF(AND(OR(L32="131",M32="131"),H32='131-CT'!$E$7),"131",""))</f>
        <v/>
      </c>
      <c r="O32" s="891" t="str">
        <f>IF(AND('341-CT'!$E$9=H32,OR(LEFT(L32,3)=$O$7,LEFT(M32,3)=$O$7)),"x","")</f>
        <v/>
      </c>
      <c r="P32" s="51" t="str">
        <f>IF(AND($B32&gt;='111'!$N$11,$B32&lt;='111'!$O$11,OR($L32=$P$7,$M32=$P$7)),"x","")</f>
        <v>x</v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IF(OR(TH!L34=TH!$W$7,M32=TH!$W$7),"x","")</f>
        <v>x</v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IF(AND(OR(LEFT(TH!L34,2)="15",LEFT(TH!M34,2)="15"),'152-CT'!$J$8=TH!F34),"x","")</f>
        <v/>
      </c>
      <c r="Z32" s="51" t="str">
        <f>IF(AND(OR(LEFT(TH!L34,2)="15",LEFT(TH!M34,2)="15"),TK!$E$7=TH!F34),"x","")</f>
        <v/>
      </c>
      <c r="AA32" s="51" t="str">
        <f>IF(AND(B32&lt;=NKC!$N$8,B32&gt;=NKC!$M$8),"x","")</f>
        <v>x</v>
      </c>
      <c r="AB32" s="923">
        <v>3</v>
      </c>
    </row>
    <row r="33" spans="1:33" s="589" customFormat="1" ht="15.75" hidden="1" customHeight="1">
      <c r="A33" s="203" t="str">
        <f>IF(B33&lt;&gt;"",IF(AND(B33&gt;=_TM1,B33&lt;=_TM2,OR(TH!L35="1111",TH!M35="1111")),TH!D35,""),"")</f>
        <v/>
      </c>
      <c r="B33" s="36">
        <f t="shared" si="3"/>
        <v>7</v>
      </c>
      <c r="C33" s="183">
        <v>42552</v>
      </c>
      <c r="D33" s="183" t="s">
        <v>539</v>
      </c>
      <c r="E33" s="183">
        <v>42508</v>
      </c>
      <c r="F33" s="188" t="s">
        <v>504</v>
      </c>
      <c r="G33" s="479" t="s">
        <v>502</v>
      </c>
      <c r="H33" s="192" t="s">
        <v>501</v>
      </c>
      <c r="I33" s="255"/>
      <c r="J33" s="255"/>
      <c r="K33" s="597">
        <v>216000</v>
      </c>
      <c r="L33" s="598" t="s">
        <v>9</v>
      </c>
      <c r="M33" s="598" t="s">
        <v>47</v>
      </c>
      <c r="N33" s="51" t="str">
        <f>IF(AND('331-CT'!$E$7=TH!H35,OR(L33="331",M33="331")),"331",IF(AND(OR(L33="131",M33="131"),H33='131-CT'!$E$7),"131",""))</f>
        <v/>
      </c>
      <c r="O33" s="891" t="str">
        <f>IF(AND('341-CT'!$E$9=H33,OR(LEFT(L33,3)=$O$7,LEFT(M33,3)=$O$7)),"x","")</f>
        <v/>
      </c>
      <c r="P33" s="51" t="str">
        <f>IF(AND($B33&gt;='111'!$N$11,$B33&lt;='111'!$O$11,OR($L33=$P$7,$M33=$P$7)),"x","")</f>
        <v>x</v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IF(OR(TH!L35=TH!$W$7,M33=TH!$W$7),"x","")</f>
        <v/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IF(AND(OR(LEFT(TH!L35,2)="15",LEFT(TH!M35,2)="15"),'152-CT'!$J$8=TH!F35),"x","")</f>
        <v/>
      </c>
      <c r="Z33" s="51" t="str">
        <f>IF(AND(OR(LEFT(TH!L35,2)="15",LEFT(TH!M35,2)="15"),TK!$E$7=TH!F35),"x","")</f>
        <v/>
      </c>
      <c r="AA33" s="51" t="str">
        <f>IF(AND(B33&lt;=NKC!$N$8,B33&gt;=NKC!$M$8),"x","")</f>
        <v>x</v>
      </c>
      <c r="AB33" s="923">
        <v>3</v>
      </c>
    </row>
    <row r="34" spans="1:33" s="589" customFormat="1" ht="15.75" hidden="1" customHeight="1">
      <c r="A34" s="203" t="str">
        <f>IF(B34&lt;&gt;"",IF(AND(B34&gt;=_TM1,B34&lt;=_TM2,OR(TH!L36="1111",TH!M36="1111")),TH!D36,""),"")</f>
        <v/>
      </c>
      <c r="B34" s="36">
        <f t="shared" si="3"/>
        <v>7</v>
      </c>
      <c r="C34" s="183">
        <v>42552</v>
      </c>
      <c r="D34" s="183" t="s">
        <v>540</v>
      </c>
      <c r="E34" s="183">
        <v>42532</v>
      </c>
      <c r="F34" s="188" t="s">
        <v>507</v>
      </c>
      <c r="G34" s="479" t="s">
        <v>506</v>
      </c>
      <c r="H34" s="192" t="s">
        <v>505</v>
      </c>
      <c r="I34" s="255"/>
      <c r="J34" s="255"/>
      <c r="K34" s="597">
        <v>3800000</v>
      </c>
      <c r="L34" s="598" t="s">
        <v>83</v>
      </c>
      <c r="M34" s="598" t="s">
        <v>47</v>
      </c>
      <c r="N34" s="51" t="str">
        <f>IF(AND('331-CT'!$E$7=TH!H36,OR(L34="331",M34="331")),"331",IF(AND(OR(L34="131",M34="131"),H34='131-CT'!$E$7),"131",""))</f>
        <v/>
      </c>
      <c r="O34" s="891" t="str">
        <f>IF(AND('341-CT'!$E$9=H34,OR(LEFT(L34,3)=$O$7,LEFT(M34,3)=$O$7)),"x","")</f>
        <v/>
      </c>
      <c r="P34" s="51" t="str">
        <f>IF(AND($B34&gt;='111'!$N$11,$B34&lt;='111'!$O$11,OR($L34=$P$7,$M34=$P$7)),"x","")</f>
        <v>x</v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IF(OR(TH!L36=TH!$W$7,M34=TH!$W$7),"x","")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IF(AND(OR(LEFT(TH!L36,2)="15",LEFT(TH!M36,2)="15"),'152-CT'!$J$8=TH!F36),"x","")</f>
        <v/>
      </c>
      <c r="Z34" s="51" t="str">
        <f>IF(AND(OR(LEFT(TH!L36,2)="15",LEFT(TH!M36,2)="15"),TK!$E$7=TH!F36),"x","")</f>
        <v/>
      </c>
      <c r="AA34" s="51" t="str">
        <f>IF(AND(B34&lt;=NKC!$N$8,B34&gt;=NKC!$M$8),"x","")</f>
        <v>x</v>
      </c>
      <c r="AB34" s="923">
        <v>3</v>
      </c>
    </row>
    <row r="35" spans="1:33" s="589" customFormat="1" ht="15.75" hidden="1" customHeight="1">
      <c r="A35" s="203" t="str">
        <f>IF(B35&lt;&gt;"",IF(AND(B35&gt;=_TM1,B35&lt;=_TM2,OR(TH!L37="1111",TH!M37="1111")),TH!D37,""),"")</f>
        <v/>
      </c>
      <c r="B35" s="36">
        <f t="shared" si="3"/>
        <v>7</v>
      </c>
      <c r="C35" s="183">
        <v>42552</v>
      </c>
      <c r="D35" s="183" t="s">
        <v>540</v>
      </c>
      <c r="E35" s="183">
        <v>42532</v>
      </c>
      <c r="F35" s="188" t="s">
        <v>508</v>
      </c>
      <c r="G35" s="479" t="s">
        <v>506</v>
      </c>
      <c r="H35" s="192" t="s">
        <v>505</v>
      </c>
      <c r="I35" s="255"/>
      <c r="J35" s="255"/>
      <c r="K35" s="37">
        <v>380000</v>
      </c>
      <c r="L35" s="598" t="s">
        <v>9</v>
      </c>
      <c r="M35" s="598" t="s">
        <v>47</v>
      </c>
      <c r="N35" s="51" t="str">
        <f>IF(AND('331-CT'!$E$7=TH!H37,OR(L35="331",M35="331")),"331",IF(AND(OR(L35="131",M35="131"),H35='131-CT'!$E$7),"131",""))</f>
        <v/>
      </c>
      <c r="O35" s="891" t="str">
        <f>IF(AND('341-CT'!$E$9=H35,OR(LEFT(L35,3)=$O$7,LEFT(M35,3)=$O$7)),"x","")</f>
        <v/>
      </c>
      <c r="P35" s="51" t="str">
        <f>IF(AND($B35&gt;='111'!$N$11,$B35&lt;='111'!$O$11,OR($L35=$P$7,$M35=$P$7)),"x","")</f>
        <v>x</v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IF(OR(TH!L37=TH!$W$7,M35=TH!$W$7),"x","")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IF(AND(OR(LEFT(TH!L37,2)="15",LEFT(TH!M37,2)="15"),'152-CT'!$J$8=TH!F37),"x","")</f>
        <v/>
      </c>
      <c r="Z35" s="51" t="str">
        <f>IF(AND(OR(LEFT(TH!L37,2)="15",LEFT(TH!M37,2)="15"),TK!$E$7=TH!F37),"x","")</f>
        <v/>
      </c>
      <c r="AA35" s="51" t="str">
        <f>IF(AND(B35&lt;=NKC!$N$8,B35&gt;=NKC!$M$8),"x","")</f>
        <v>x</v>
      </c>
      <c r="AB35" s="923">
        <v>3</v>
      </c>
    </row>
    <row r="36" spans="1:33" s="589" customFormat="1" ht="15.75" hidden="1" customHeight="1">
      <c r="A36" s="203" t="str">
        <f>IF(B36&lt;&gt;"",IF(AND(B36&gt;=_TM1,B36&lt;=_TM2,OR(TH!L74="1111",TH!M74="1111")),TH!D74,""),"")</f>
        <v/>
      </c>
      <c r="B36" s="36">
        <f t="shared" si="3"/>
        <v>7</v>
      </c>
      <c r="C36" s="183">
        <f t="shared" ref="C36:C69" si="5">E36</f>
        <v>42563</v>
      </c>
      <c r="D36" s="190" t="s">
        <v>542</v>
      </c>
      <c r="E36" s="183">
        <v>42563</v>
      </c>
      <c r="F36" s="188" t="s">
        <v>490</v>
      </c>
      <c r="G36" s="481" t="s">
        <v>538</v>
      </c>
      <c r="H36" s="7" t="s">
        <v>484</v>
      </c>
      <c r="I36" s="255">
        <v>11536</v>
      </c>
      <c r="J36" s="255">
        <v>7600</v>
      </c>
      <c r="K36" s="37">
        <f>ROUND(I36*J36,0)</f>
        <v>87673600</v>
      </c>
      <c r="L36" s="193" t="s">
        <v>159</v>
      </c>
      <c r="M36" s="193" t="s">
        <v>8</v>
      </c>
      <c r="N36" s="51" t="str">
        <f>IF(AND('331-CT'!$E$7=TH!H74,OR(L36="331",M36="331")),"331",IF(AND(OR(L36="131",M36="131"),H36='131-CT'!$E$7),"131",""))</f>
        <v/>
      </c>
      <c r="O36" s="891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IF(OR(TH!L74=TH!$W$7,M36=TH!$W$7),"x","")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IF(AND(OR(LEFT(TH!L74,2)="15",LEFT(TH!M74,2)="15"),'152-CT'!$J$8=TH!F74),"x","")</f>
        <v/>
      </c>
      <c r="Z36" s="51" t="str">
        <f>IF(AND(OR(LEFT(TH!L74,2)="15",LEFT(TH!M74,2)="15"),TK!$E$7=TH!F74),"x","")</f>
        <v/>
      </c>
      <c r="AA36" s="51" t="str">
        <f>IF(AND(B36&lt;=NKC!$N$8,B36&gt;=NKC!$M$8),"x","")</f>
        <v>x</v>
      </c>
      <c r="AB36" s="923">
        <v>3</v>
      </c>
    </row>
    <row r="37" spans="1:33" s="589" customFormat="1" ht="15.75" hidden="1" customHeight="1">
      <c r="A37" s="203" t="str">
        <f>IF(B37&lt;&gt;"",IF(AND(B37&gt;=_TM1,B37&lt;=_TM2,OR(TH!L75="1111",TH!M75="1111")),TH!D75,""),"")</f>
        <v/>
      </c>
      <c r="B37" s="36">
        <f t="shared" si="3"/>
        <v>7</v>
      </c>
      <c r="C37" s="183">
        <f t="shared" si="5"/>
        <v>42563</v>
      </c>
      <c r="D37" s="190" t="s">
        <v>542</v>
      </c>
      <c r="E37" s="183">
        <v>42563</v>
      </c>
      <c r="F37" s="188" t="s">
        <v>536</v>
      </c>
      <c r="G37" s="481" t="s">
        <v>538</v>
      </c>
      <c r="H37" s="7" t="s">
        <v>484</v>
      </c>
      <c r="I37" s="255">
        <v>5979</v>
      </c>
      <c r="J37" s="255">
        <v>8900</v>
      </c>
      <c r="K37" s="37">
        <f>ROUND(I37*J37,0)</f>
        <v>53213100</v>
      </c>
      <c r="L37" s="193" t="s">
        <v>159</v>
      </c>
      <c r="M37" s="193" t="s">
        <v>8</v>
      </c>
      <c r="N37" s="51" t="str">
        <f>IF(AND('331-CT'!$E$7=TH!H75,OR(L37="331",M37="331")),"331",IF(AND(OR(L37="131",M37="131"),H37='131-CT'!$E$7),"131",""))</f>
        <v/>
      </c>
      <c r="O37" s="891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IF(OR(TH!L75=TH!$W$7,M37=TH!$W$7),"x","")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IF(AND(OR(LEFT(TH!L75,2)="15",LEFT(TH!M75,2)="15"),'152-CT'!$J$8=TH!F75),"x","")</f>
        <v/>
      </c>
      <c r="Z37" s="51" t="str">
        <f>IF(AND(OR(LEFT(TH!L75,2)="15",LEFT(TH!M75,2)="15"),TK!$E$7=TH!F75),"x","")</f>
        <v/>
      </c>
      <c r="AA37" s="51" t="str">
        <f>IF(AND(B37&lt;=NKC!$N$8,B37&gt;=NKC!$M$8),"x","")</f>
        <v>x</v>
      </c>
      <c r="AB37" s="923">
        <v>3</v>
      </c>
      <c r="AD37" s="210"/>
    </row>
    <row r="38" spans="1:33" s="589" customFormat="1" ht="15.75" hidden="1" customHeight="1">
      <c r="A38" s="203" t="str">
        <f>IF(B38&lt;&gt;"",IF(AND(B38&gt;=_TM1,B38&lt;=_TM2,OR(TH!L76="1111",TH!M76="1111")),TH!D76,""),"")</f>
        <v/>
      </c>
      <c r="B38" s="36">
        <f t="shared" si="3"/>
        <v>7</v>
      </c>
      <c r="C38" s="183">
        <f t="shared" si="5"/>
        <v>42563</v>
      </c>
      <c r="D38" s="190" t="s">
        <v>542</v>
      </c>
      <c r="E38" s="183">
        <v>42563</v>
      </c>
      <c r="F38" s="188" t="s">
        <v>537</v>
      </c>
      <c r="G38" s="481" t="s">
        <v>538</v>
      </c>
      <c r="H38" s="7" t="s">
        <v>484</v>
      </c>
      <c r="I38" s="255">
        <v>4011</v>
      </c>
      <c r="J38" s="255">
        <v>8500</v>
      </c>
      <c r="K38" s="37">
        <f>ROUND(I38*J38,0)</f>
        <v>34093500</v>
      </c>
      <c r="L38" s="193" t="s">
        <v>159</v>
      </c>
      <c r="M38" s="193" t="s">
        <v>8</v>
      </c>
      <c r="N38" s="51" t="str">
        <f>IF(AND('331-CT'!$E$7=TH!H76,OR(L38="331",M38="331")),"331",IF(AND(OR(L38="131",M38="131"),H38='131-CT'!$E$7),"131",""))</f>
        <v/>
      </c>
      <c r="O38" s="891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IF(OR(TH!L76=TH!$W$7,M38=TH!$W$7),"x","")</f>
        <v>x</v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IF(AND(OR(LEFT(TH!L76,2)="15",LEFT(TH!M76,2)="15"),'152-CT'!$J$8=TH!F76),"x","")</f>
        <v/>
      </c>
      <c r="Z38" s="51" t="str">
        <f>IF(AND(OR(LEFT(TH!L76,2)="15",LEFT(TH!M76,2)="15"),TK!$E$7=TH!F76),"x","")</f>
        <v/>
      </c>
      <c r="AA38" s="51" t="str">
        <f>IF(AND(B38&lt;=NKC!$N$8,B38&gt;=NKC!$M$8),"x","")</f>
        <v>x</v>
      </c>
      <c r="AB38" s="923">
        <v>3</v>
      </c>
    </row>
    <row r="39" spans="1:33" s="589" customFormat="1" ht="15.75" hidden="1" customHeight="1">
      <c r="A39" s="203" t="str">
        <f>IF(B39&lt;&gt;"",IF(AND(B39&gt;=_TM1,B39&lt;=_TM2,OR(TH!L77="1111",TH!M77="1111")),TH!D77,""),"")</f>
        <v/>
      </c>
      <c r="B39" s="36">
        <f t="shared" si="3"/>
        <v>7</v>
      </c>
      <c r="C39" s="183">
        <f t="shared" si="5"/>
        <v>42563</v>
      </c>
      <c r="D39" s="190" t="s">
        <v>542</v>
      </c>
      <c r="E39" s="183">
        <v>42563</v>
      </c>
      <c r="F39" s="188" t="s">
        <v>485</v>
      </c>
      <c r="G39" s="481" t="s">
        <v>538</v>
      </c>
      <c r="H39" s="7" t="s">
        <v>484</v>
      </c>
      <c r="I39" s="255"/>
      <c r="J39" s="255"/>
      <c r="K39" s="597">
        <v>17498020</v>
      </c>
      <c r="L39" s="193" t="s">
        <v>9</v>
      </c>
      <c r="M39" s="193" t="s">
        <v>8</v>
      </c>
      <c r="N39" s="51" t="str">
        <f>IF(AND('331-CT'!$E$7=TH!H77,OR(L39="331",M39="331")),"331",IF(AND(OR(L39="131",M39="131"),H39='131-CT'!$E$7),"131",""))</f>
        <v/>
      </c>
      <c r="O39" s="891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IF(OR(TH!L77=TH!$W$7,M39=TH!$W$7),"x","")</f>
        <v/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IF(AND(OR(LEFT(TH!L77,2)="15",LEFT(TH!M77,2)="15"),'152-CT'!$J$8=TH!F77),"x","")</f>
        <v/>
      </c>
      <c r="Z39" s="51" t="str">
        <f>IF(AND(OR(LEFT(TH!L77,2)="15",LEFT(TH!M77,2)="15"),TK!$E$7=TH!F77),"x","")</f>
        <v/>
      </c>
      <c r="AA39" s="51" t="str">
        <f>IF(AND(B39&lt;=NKC!$N$8,B39&gt;=NKC!$M$8),"x","")</f>
        <v>x</v>
      </c>
      <c r="AB39" s="923">
        <v>3</v>
      </c>
    </row>
    <row r="40" spans="1:33" s="589" customFormat="1" ht="15.75" hidden="1" customHeight="1">
      <c r="A40" s="203" t="str">
        <f>IF(B40&lt;&gt;"",IF(AND(B40&gt;=_TM1,B40&lt;=_TM2,OR(TH!L32="1111",TH!M32="1111")),TH!D32,""),"")</f>
        <v/>
      </c>
      <c r="B40" s="36">
        <f t="shared" si="3"/>
        <v>7</v>
      </c>
      <c r="C40" s="183">
        <f t="shared" si="5"/>
        <v>42566</v>
      </c>
      <c r="D40" s="190" t="s">
        <v>541</v>
      </c>
      <c r="E40" s="183">
        <v>42566</v>
      </c>
      <c r="F40" s="188" t="s">
        <v>496</v>
      </c>
      <c r="G40" s="479" t="s">
        <v>495</v>
      </c>
      <c r="H40" s="192" t="s">
        <v>494</v>
      </c>
      <c r="I40" s="255"/>
      <c r="J40" s="255"/>
      <c r="K40" s="597">
        <v>1454545</v>
      </c>
      <c r="L40" s="598" t="s">
        <v>261</v>
      </c>
      <c r="M40" s="598" t="s">
        <v>47</v>
      </c>
      <c r="N40" s="51" t="str">
        <f>IF(AND('331-CT'!$E$7=TH!H32,OR(L40="331",M40="331")),"331",IF(AND(OR(L40="131",M40="131"),H40='131-CT'!$E$7),"131",""))</f>
        <v/>
      </c>
      <c r="O40" s="891" t="str">
        <f>IF(AND('341-CT'!$E$9=H40,OR(LEFT(L40,3)=$O$7,LEFT(M40,3)=$O$7)),"x","")</f>
        <v/>
      </c>
      <c r="P40" s="51" t="str">
        <f>IF(AND($B40&gt;='111'!$N$11,$B40&lt;='111'!$O$11,OR($L40=$P$7,$M40=$P$7)),"x","")</f>
        <v>x</v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641</v>
      </c>
      <c r="W40" s="51" t="str">
        <f>IF(OR(TH!L32=TH!$W$7,M40=TH!$W$7),"x","")</f>
        <v>x</v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IF(AND(OR(LEFT(TH!L32,2)="15",LEFT(TH!M32,2)="15"),'152-CT'!$J$8=TH!F32),"x","")</f>
        <v/>
      </c>
      <c r="Z40" s="51" t="str">
        <f>IF(AND(OR(LEFT(TH!L32,2)="15",LEFT(TH!M32,2)="15"),TK!$E$7=TH!F32),"x","")</f>
        <v/>
      </c>
      <c r="AA40" s="51" t="str">
        <f>IF(AND(B40&lt;=NKC!$N$8,B40&gt;=NKC!$M$8),"x","")</f>
        <v>x</v>
      </c>
      <c r="AB40" s="923">
        <v>3</v>
      </c>
    </row>
    <row r="41" spans="1:33" s="589" customFormat="1" ht="15.75" hidden="1" customHeight="1">
      <c r="A41" s="203" t="str">
        <f>IF(B41&lt;&gt;"",IF(AND(B41&gt;=_TM1,B41&lt;=_TM2,OR(TH!L33="1111",TH!M33="1111")),TH!D33,""),"")</f>
        <v/>
      </c>
      <c r="B41" s="36">
        <f t="shared" si="3"/>
        <v>7</v>
      </c>
      <c r="C41" s="183">
        <f t="shared" si="5"/>
        <v>42566</v>
      </c>
      <c r="D41" s="190" t="s">
        <v>541</v>
      </c>
      <c r="E41" s="183">
        <v>42566</v>
      </c>
      <c r="F41" s="188" t="s">
        <v>497</v>
      </c>
      <c r="G41" s="479" t="s">
        <v>495</v>
      </c>
      <c r="H41" s="192" t="s">
        <v>494</v>
      </c>
      <c r="I41" s="255"/>
      <c r="J41" s="255"/>
      <c r="K41" s="597">
        <v>145455</v>
      </c>
      <c r="L41" s="598" t="s">
        <v>9</v>
      </c>
      <c r="M41" s="598" t="s">
        <v>47</v>
      </c>
      <c r="N41" s="51" t="str">
        <f>IF(AND('331-CT'!$E$7=TH!H33,OR(L41="331",M41="331")),"331",IF(AND(OR(L41="131",M41="131"),H41='131-CT'!$E$7),"131",""))</f>
        <v/>
      </c>
      <c r="O41" s="891" t="str">
        <f>IF(AND('341-CT'!$E$9=H41,OR(LEFT(L41,3)=$O$7,LEFT(M41,3)=$O$7)),"x","")</f>
        <v/>
      </c>
      <c r="P41" s="51" t="str">
        <f>IF(AND($B41&gt;='111'!$N$11,$B41&lt;='111'!$O$11,OR($L41=$P$7,$M41=$P$7)),"x","")</f>
        <v>x</v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IF(OR(TH!L33=TH!$W$7,M41=TH!$W$7),"x","")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IF(AND(OR(LEFT(TH!L33,2)="15",LEFT(TH!M33,2)="15"),'152-CT'!$J$8=TH!F33),"x","")</f>
        <v/>
      </c>
      <c r="Z41" s="51" t="str">
        <f>IF(AND(OR(LEFT(TH!L33,2)="15",LEFT(TH!M33,2)="15"),TK!$E$7=TH!F33),"x","")</f>
        <v/>
      </c>
      <c r="AA41" s="51" t="str">
        <f>IF(AND(B41&lt;=NKC!$N$8,B41&gt;=NKC!$M$8),"x","")</f>
        <v>x</v>
      </c>
      <c r="AB41" s="923">
        <v>3</v>
      </c>
    </row>
    <row r="42" spans="1:33" s="589" customFormat="1" ht="15.75" hidden="1" customHeight="1">
      <c r="A42" s="203" t="str">
        <f>IF(B42&lt;&gt;"",IF(AND(B42&gt;=_TM1,B42&lt;=_TM2,OR(TH!L68="1111",TH!M68="1111")),TH!D68,""),"")</f>
        <v/>
      </c>
      <c r="B42" s="36">
        <f t="shared" si="3"/>
        <v>7</v>
      </c>
      <c r="C42" s="183">
        <f t="shared" si="5"/>
        <v>42580</v>
      </c>
      <c r="D42" s="190" t="s">
        <v>543</v>
      </c>
      <c r="E42" s="183">
        <v>42580</v>
      </c>
      <c r="F42" s="188" t="s">
        <v>490</v>
      </c>
      <c r="G42" s="481" t="s">
        <v>535</v>
      </c>
      <c r="H42" s="7" t="s">
        <v>484</v>
      </c>
      <c r="I42" s="255">
        <v>7756</v>
      </c>
      <c r="J42" s="255">
        <v>7600</v>
      </c>
      <c r="K42" s="37">
        <f>ROUND(I42*J42,0)</f>
        <v>58945600</v>
      </c>
      <c r="L42" s="193" t="s">
        <v>159</v>
      </c>
      <c r="M42" s="193" t="s">
        <v>8</v>
      </c>
      <c r="N42" s="51" t="str">
        <f>IF(AND('331-CT'!$E$7=TH!H68,OR(L42="331",M42="331")),"331",IF(AND(OR(L42="131",M42="131"),H42='131-CT'!$E$7),"131",""))</f>
        <v/>
      </c>
      <c r="O42" s="891" t="str">
        <f>IF(AND('341-CT'!$E$9=H42,OR(LEFT(L42,3)=$O$7,LEFT(M42,3)=$O$7)),"x","")</f>
        <v/>
      </c>
      <c r="P42" s="51" t="str">
        <f>IF(AND($B42&gt;='111'!$N$11,$B42&lt;='111'!$O$11,OR($L42=$P$7,$M42=$P$7)),"x","")</f>
        <v/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IF(OR(TH!L68=TH!$W$7,M42=TH!$W$7),"x","")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IF(AND(OR(LEFT(TH!L68,2)="15",LEFT(TH!M68,2)="15"),'152-CT'!$J$8=TH!F68),"x","")</f>
        <v/>
      </c>
      <c r="Z42" s="51" t="str">
        <f>IF(AND(OR(LEFT(TH!L68,2)="15",LEFT(TH!M68,2)="15"),TK!$E$7=TH!F68),"x","")</f>
        <v/>
      </c>
      <c r="AA42" s="51" t="str">
        <f>IF(AND(B42&lt;=NKC!$N$8,B42&gt;=NKC!$M$8),"x","")</f>
        <v>x</v>
      </c>
      <c r="AB42" s="923">
        <v>3</v>
      </c>
    </row>
    <row r="43" spans="1:33" s="589" customFormat="1" ht="15.75" hidden="1" customHeight="1">
      <c r="A43" s="203" t="str">
        <f>IF(B43&lt;&gt;"",IF(AND(B43&gt;=_TM1,B43&lt;=_TM2,OR(TH!L69="1111",TH!M69="1111")),TH!D69,""),"")</f>
        <v/>
      </c>
      <c r="B43" s="36">
        <f t="shared" si="3"/>
        <v>7</v>
      </c>
      <c r="C43" s="183">
        <f t="shared" si="5"/>
        <v>42580</v>
      </c>
      <c r="D43" s="190" t="s">
        <v>543</v>
      </c>
      <c r="E43" s="183">
        <v>42580</v>
      </c>
      <c r="F43" s="188" t="s">
        <v>536</v>
      </c>
      <c r="G43" s="481" t="s">
        <v>535</v>
      </c>
      <c r="H43" s="7" t="s">
        <v>484</v>
      </c>
      <c r="I43" s="255">
        <v>4223</v>
      </c>
      <c r="J43" s="255">
        <v>8900</v>
      </c>
      <c r="K43" s="37">
        <f>ROUND(I43*J43,0)</f>
        <v>37584700</v>
      </c>
      <c r="L43" s="193" t="s">
        <v>159</v>
      </c>
      <c r="M43" s="193" t="s">
        <v>8</v>
      </c>
      <c r="N43" s="51" t="str">
        <f>IF(AND('331-CT'!$E$7=TH!H69,OR(L43="331",M43="331")),"331",IF(AND(OR(L43="131",M43="131"),H43='131-CT'!$E$7),"131",""))</f>
        <v/>
      </c>
      <c r="O43" s="891" t="str">
        <f>IF(AND('341-CT'!$E$9=H43,OR(LEFT(L43,3)=$O$7,LEFT(M43,3)=$O$7)),"x","")</f>
        <v/>
      </c>
      <c r="P43" s="51" t="str">
        <f>IF(AND($B43&gt;='111'!$N$11,$B43&lt;='111'!$O$11,OR($L43=$P$7,$M43=$P$7)),"x","")</f>
        <v/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/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IF(OR(TH!L69=TH!$W$7,M43=TH!$W$7),"x","")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IF(AND(OR(LEFT(TH!L69,2)="15",LEFT(TH!M69,2)="15"),'152-CT'!$J$8=TH!F69),"x","")</f>
        <v/>
      </c>
      <c r="Z43" s="51" t="str">
        <f>IF(AND(OR(LEFT(TH!L69,2)="15",LEFT(TH!M69,2)="15"),TK!$E$7=TH!F69),"x","")</f>
        <v/>
      </c>
      <c r="AA43" s="51" t="str">
        <f>IF(AND(B43&lt;=NKC!$N$8,B43&gt;=NKC!$M$8),"x","")</f>
        <v>x</v>
      </c>
      <c r="AB43" s="923">
        <v>3</v>
      </c>
    </row>
    <row r="44" spans="1:33" s="210" customFormat="1" ht="15.75" hidden="1" customHeight="1">
      <c r="A44" s="203" t="str">
        <f>IF(B44&lt;&gt;"",IF(AND(B44&gt;=_TM1,B44&lt;=_TM2,OR(TH!L72="1111",TH!M72="1111")),TH!D72,""),"")</f>
        <v/>
      </c>
      <c r="B44" s="36">
        <f t="shared" si="3"/>
        <v>7</v>
      </c>
      <c r="C44" s="183">
        <f t="shared" si="5"/>
        <v>42580</v>
      </c>
      <c r="D44" s="190" t="s">
        <v>543</v>
      </c>
      <c r="E44" s="183">
        <v>42580</v>
      </c>
      <c r="F44" s="188" t="s">
        <v>537</v>
      </c>
      <c r="G44" s="481" t="s">
        <v>535</v>
      </c>
      <c r="H44" s="7" t="s">
        <v>484</v>
      </c>
      <c r="I44" s="255">
        <v>6881</v>
      </c>
      <c r="J44" s="255">
        <v>8500</v>
      </c>
      <c r="K44" s="37">
        <f>ROUND(I44*J44,0)</f>
        <v>58488500</v>
      </c>
      <c r="L44" s="193" t="s">
        <v>159</v>
      </c>
      <c r="M44" s="193" t="s">
        <v>8</v>
      </c>
      <c r="N44" s="51" t="str">
        <f>IF(AND('331-CT'!$E$7=TH!H72,OR(L44="331",M44="331")),"331",IF(AND(OR(L44="131",M44="131"),H44='131-CT'!$E$7),"131",""))</f>
        <v/>
      </c>
      <c r="O44" s="891" t="str">
        <f>IF(AND('341-CT'!$E$9=H44,OR(LEFT(L44,3)=$O$7,LEFT(M44,3)=$O$7)),"x","")</f>
        <v/>
      </c>
      <c r="P44" s="51" t="str">
        <f>IF(AND($B44&gt;='111'!$N$11,$B44&lt;='111'!$O$11,OR($L44=$P$7,$M44=$P$7)),"x","")</f>
        <v/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1" t="str">
        <f>IF(OR(TH!L72=TH!$W$7,M44=TH!$W$7),"x","")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IF(AND(OR(LEFT(TH!L72,2)="15",LEFT(TH!M72,2)="15"),'152-CT'!$J$8=TH!F72),"x","")</f>
        <v/>
      </c>
      <c r="Z44" s="51" t="str">
        <f>IF(AND(OR(LEFT(TH!L72,2)="15",LEFT(TH!M72,2)="15"),TK!$E$7=TH!F72),"x","")</f>
        <v/>
      </c>
      <c r="AA44" s="51" t="str">
        <f>IF(AND(B44&lt;=NKC!$N$8,B44&gt;=NKC!$M$8),"x","")</f>
        <v>x</v>
      </c>
      <c r="AB44" s="923">
        <v>3</v>
      </c>
      <c r="AC44" s="589"/>
      <c r="AD44" s="589"/>
      <c r="AE44" s="589"/>
      <c r="AF44" s="589"/>
      <c r="AG44" s="589"/>
    </row>
    <row r="45" spans="1:33" s="210" customFormat="1" ht="15.75" hidden="1" customHeight="1">
      <c r="A45" s="203" t="str">
        <f>IF(B45&lt;&gt;"",IF(AND(B45&gt;=_TM1,B45&lt;=_TM2,OR(TH!L73="1111",TH!M73="1111")),TH!D73,""),"")</f>
        <v/>
      </c>
      <c r="B45" s="36">
        <f t="shared" si="3"/>
        <v>7</v>
      </c>
      <c r="C45" s="183">
        <f t="shared" si="5"/>
        <v>42580</v>
      </c>
      <c r="D45" s="190" t="s">
        <v>543</v>
      </c>
      <c r="E45" s="183">
        <v>42580</v>
      </c>
      <c r="F45" s="188" t="s">
        <v>485</v>
      </c>
      <c r="G45" s="481" t="s">
        <v>535</v>
      </c>
      <c r="H45" s="7" t="s">
        <v>484</v>
      </c>
      <c r="I45" s="255"/>
      <c r="J45" s="255"/>
      <c r="K45" s="597">
        <v>15501880</v>
      </c>
      <c r="L45" s="193" t="s">
        <v>9</v>
      </c>
      <c r="M45" s="193" t="s">
        <v>8</v>
      </c>
      <c r="N45" s="51" t="str">
        <f>IF(AND('331-CT'!$E$7=TH!H73,OR(L45="331",M45="331")),"331",IF(AND(OR(L45="131",M45="131"),H45='131-CT'!$E$7),"131",""))</f>
        <v/>
      </c>
      <c r="O45" s="891" t="str">
        <f>IF(AND('341-CT'!$E$9=H45,OR(LEFT(L45,3)=$O$7,LEFT(M45,3)=$O$7)),"x","")</f>
        <v/>
      </c>
      <c r="P45" s="51" t="str">
        <f>IF(AND($B45&gt;='111'!$N$11,$B45&lt;='111'!$O$11,OR($L45=$P$7,$M45=$P$7)),"x","")</f>
        <v/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IF(OR(TH!L73=TH!$W$7,M45=TH!$W$7),"x","")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IF(AND(OR(LEFT(TH!L73,2)="15",LEFT(TH!M73,2)="15"),'152-CT'!$J$8=TH!F73),"x","")</f>
        <v/>
      </c>
      <c r="Z45" s="51" t="str">
        <f>IF(AND(OR(LEFT(TH!L73,2)="15",LEFT(TH!M73,2)="15"),TK!$E$7=TH!F73),"x","")</f>
        <v/>
      </c>
      <c r="AA45" s="51" t="str">
        <f>IF(AND(B45&lt;=NKC!$N$8,B45&gt;=NKC!$M$8),"x","")</f>
        <v>x</v>
      </c>
      <c r="AB45" s="923">
        <v>3</v>
      </c>
      <c r="AC45" s="589"/>
      <c r="AE45" s="589"/>
      <c r="AF45" s="589"/>
      <c r="AG45" s="589"/>
    </row>
    <row r="46" spans="1:33" s="589" customFormat="1" ht="15.75" hidden="1" customHeight="1">
      <c r="A46" s="203" t="str">
        <f>IF(B46&lt;&gt;"",IF(AND(B46&gt;=_TM1,B46&lt;=_TM2,OR(TH!L38="1111",TH!M38="1111")),TH!D38,""),"")</f>
        <v/>
      </c>
      <c r="B46" s="36">
        <f t="shared" si="3"/>
        <v>7</v>
      </c>
      <c r="C46" s="183">
        <f t="shared" si="5"/>
        <v>42581</v>
      </c>
      <c r="D46" s="190" t="s">
        <v>544</v>
      </c>
      <c r="E46" s="183">
        <v>42581</v>
      </c>
      <c r="F46" s="188" t="s">
        <v>375</v>
      </c>
      <c r="G46" s="479" t="s">
        <v>510</v>
      </c>
      <c r="H46" s="192" t="s">
        <v>509</v>
      </c>
      <c r="I46" s="255"/>
      <c r="J46" s="255"/>
      <c r="K46" s="597">
        <v>6290000</v>
      </c>
      <c r="L46" s="598" t="s">
        <v>165</v>
      </c>
      <c r="M46" s="598" t="s">
        <v>47</v>
      </c>
      <c r="N46" s="51" t="str">
        <f>IF(AND('331-CT'!$E$7=TH!H38,OR(L46="331",M46="331")),"331",IF(AND(OR(L46="131",M46="131"),H46='131-CT'!$E$7),"131",""))</f>
        <v/>
      </c>
      <c r="O46" s="891" t="str">
        <f>IF(AND('341-CT'!$E$9=H46,OR(LEFT(L46,3)=$O$7,LEFT(M46,3)=$O$7)),"x","")</f>
        <v/>
      </c>
      <c r="P46" s="51" t="str">
        <f>IF(AND($B46&gt;='111'!$N$11,$B46&lt;='111'!$O$11,OR($L46=$P$7,$M46=$P$7)),"x","")</f>
        <v>x</v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/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1" t="str">
        <f>IF(OR(TH!L38=TH!$W$7,M46=TH!$W$7),"x","")</f>
        <v/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IF(AND(OR(LEFT(TH!L38,2)="15",LEFT(TH!M38,2)="15"),'152-CT'!$J$8=TH!F38),"x","")</f>
        <v/>
      </c>
      <c r="Z46" s="51" t="str">
        <f>IF(AND(OR(LEFT(TH!L38,2)="15",LEFT(TH!M38,2)="15"),TK!$E$7=TH!F38),"x","")</f>
        <v/>
      </c>
      <c r="AA46" s="51" t="str">
        <f>IF(AND(B46&lt;=NKC!$N$8,B46&gt;=NKC!$M$8),"x","")</f>
        <v>x</v>
      </c>
      <c r="AB46" s="923">
        <v>3</v>
      </c>
    </row>
    <row r="47" spans="1:33" s="589" customFormat="1" ht="15.75" hidden="1" customHeight="1">
      <c r="A47" s="203" t="str">
        <f>IF(B47&lt;&gt;"",IF(AND(B47&gt;=_TM1,B47&lt;=_TM2,OR(TH!L39="1111",TH!M39="1111")),TH!D39,""),"")</f>
        <v/>
      </c>
      <c r="B47" s="36">
        <f t="shared" si="3"/>
        <v>7</v>
      </c>
      <c r="C47" s="183">
        <f t="shared" si="5"/>
        <v>42581</v>
      </c>
      <c r="D47" s="190" t="s">
        <v>544</v>
      </c>
      <c r="E47" s="183">
        <v>42581</v>
      </c>
      <c r="F47" s="188" t="s">
        <v>511</v>
      </c>
      <c r="G47" s="479" t="s">
        <v>510</v>
      </c>
      <c r="H47" s="192" t="s">
        <v>509</v>
      </c>
      <c r="I47" s="255"/>
      <c r="J47" s="255"/>
      <c r="K47" s="597">
        <v>629000</v>
      </c>
      <c r="L47" s="598" t="s">
        <v>9</v>
      </c>
      <c r="M47" s="598" t="s">
        <v>47</v>
      </c>
      <c r="N47" s="51" t="str">
        <f>IF(AND('331-CT'!$E$7=TH!H39,OR(L47="331",M47="331")),"331",IF(AND(OR(L47="131",M47="131"),H47='131-CT'!$E$7),"131",""))</f>
        <v/>
      </c>
      <c r="O47" s="891" t="str">
        <f>IF(AND('341-CT'!$E$9=H47,OR(LEFT(L47,3)=$O$7,LEFT(M47,3)=$O$7)),"x","")</f>
        <v/>
      </c>
      <c r="P47" s="51" t="str">
        <f>IF(AND($B47&gt;='111'!$N$11,$B47&lt;='111'!$O$11,OR($L47=$P$7,$M47=$P$7)),"x","")</f>
        <v>x</v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/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IF(OR(TH!L39=TH!$W$7,M47=TH!$W$7),"x","")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IF(AND(OR(LEFT(TH!L39,2)="15",LEFT(TH!M39,2)="15"),'152-CT'!$J$8=TH!F39),"x","")</f>
        <v/>
      </c>
      <c r="Z47" s="51" t="str">
        <f>IF(AND(OR(LEFT(TH!L39,2)="15",LEFT(TH!M39,2)="15"),TK!$E$7=TH!F39),"x","")</f>
        <v/>
      </c>
      <c r="AA47" s="51" t="str">
        <f>IF(AND(B47&lt;=NKC!$N$8,B47&gt;=NKC!$M$8),"x","")</f>
        <v>x</v>
      </c>
      <c r="AB47" s="923">
        <v>3</v>
      </c>
    </row>
    <row r="48" spans="1:33" s="589" customFormat="1" ht="15.75" hidden="1" customHeight="1">
      <c r="A48" s="203" t="str">
        <f>IF(B48&lt;&gt;"",IF(AND(B48&gt;=_TM1,B48&lt;=_TM2,OR(TH!L44="1111",TH!M44="1111")),TH!D44,""),"")</f>
        <v/>
      </c>
      <c r="B48" s="36">
        <f t="shared" si="3"/>
        <v>7</v>
      </c>
      <c r="C48" s="183">
        <f t="shared" si="5"/>
        <v>42581</v>
      </c>
      <c r="D48" s="190" t="s">
        <v>545</v>
      </c>
      <c r="E48" s="183">
        <v>42581</v>
      </c>
      <c r="F48" s="188" t="s">
        <v>496</v>
      </c>
      <c r="G48" s="479" t="s">
        <v>516</v>
      </c>
      <c r="H48" s="192" t="s">
        <v>514</v>
      </c>
      <c r="I48" s="255"/>
      <c r="J48" s="255"/>
      <c r="K48" s="597">
        <v>2011090</v>
      </c>
      <c r="L48" s="598" t="s">
        <v>261</v>
      </c>
      <c r="M48" s="598" t="s">
        <v>47</v>
      </c>
      <c r="N48" s="51" t="str">
        <f>IF(AND('331-CT'!$E$7=TH!H44,OR(L48="331",M48="331")),"331",IF(AND(OR(L48="131",M48="131"),H48='131-CT'!$E$7),"131",""))</f>
        <v/>
      </c>
      <c r="O48" s="891" t="str">
        <f>IF(AND('341-CT'!$E$9=H48,OR(LEFT(L48,3)=$O$7,LEFT(M48,3)=$O$7)),"x","")</f>
        <v/>
      </c>
      <c r="P48" s="51" t="str">
        <f>IF(AND($B48&gt;='111'!$N$11,$B48&lt;='111'!$O$11,OR($L48=$P$7,$M48=$P$7)),"x","")</f>
        <v>x</v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>641</v>
      </c>
      <c r="W48" s="51" t="str">
        <f>IF(OR(TH!L44=TH!$W$7,M48=TH!$W$7),"x","")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IF(AND(OR(LEFT(TH!L44,2)="15",LEFT(TH!M44,2)="15"),'152-CT'!$J$8=TH!F44),"x","")</f>
        <v/>
      </c>
      <c r="Z48" s="51" t="str">
        <f>IF(AND(OR(LEFT(TH!L44,2)="15",LEFT(TH!M44,2)="15"),TK!$E$7=TH!F44),"x","")</f>
        <v/>
      </c>
      <c r="AA48" s="51" t="str">
        <f>IF(AND(B48&lt;=NKC!$N$8,B48&gt;=NKC!$M$8),"x","")</f>
        <v>x</v>
      </c>
      <c r="AB48" s="923">
        <v>3</v>
      </c>
      <c r="AF48" s="210"/>
      <c r="AG48" s="210"/>
    </row>
    <row r="49" spans="1:33" s="589" customFormat="1" ht="15.75" hidden="1" customHeight="1">
      <c r="A49" s="203" t="str">
        <f>IF(B49&lt;&gt;"",IF(AND(B49&gt;=_TM1,B49&lt;=_TM2,OR(TH!L45="1111",TH!M45="1111")),TH!D45,""),"")</f>
        <v/>
      </c>
      <c r="B49" s="36">
        <f t="shared" si="3"/>
        <v>7</v>
      </c>
      <c r="C49" s="183">
        <f t="shared" si="5"/>
        <v>42581</v>
      </c>
      <c r="D49" s="190" t="s">
        <v>545</v>
      </c>
      <c r="E49" s="183">
        <v>42581</v>
      </c>
      <c r="F49" s="188" t="s">
        <v>497</v>
      </c>
      <c r="G49" s="479" t="s">
        <v>516</v>
      </c>
      <c r="H49" s="192" t="s">
        <v>514</v>
      </c>
      <c r="I49" s="255"/>
      <c r="J49" s="255"/>
      <c r="K49" s="597">
        <v>201110</v>
      </c>
      <c r="L49" s="598" t="s">
        <v>9</v>
      </c>
      <c r="M49" s="598" t="s">
        <v>47</v>
      </c>
      <c r="N49" s="51" t="str">
        <f>IF(AND('331-CT'!$E$7=TH!H45,OR(L49="331",M49="331")),"331",IF(AND(OR(L49="131",M49="131"),H49='131-CT'!$E$7),"131",""))</f>
        <v/>
      </c>
      <c r="O49" s="891" t="str">
        <f>IF(AND('341-CT'!$E$9=H49,OR(LEFT(L49,3)=$O$7,LEFT(M49,3)=$O$7)),"x","")</f>
        <v/>
      </c>
      <c r="P49" s="51" t="str">
        <f>IF(AND($B49&gt;='111'!$N$11,$B49&lt;='111'!$O$11,OR($L49=$P$7,$M49=$P$7)),"x","")</f>
        <v>x</v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IF(OR(TH!L45=TH!$W$7,M49=TH!$W$7),"x","")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IF(AND(OR(LEFT(TH!L45,2)="15",LEFT(TH!M45,2)="15"),'152-CT'!$J$8=TH!F45),"x","")</f>
        <v/>
      </c>
      <c r="Z49" s="51" t="str">
        <f>IF(AND(OR(LEFT(TH!L45,2)="15",LEFT(TH!M45,2)="15"),TK!$E$7=TH!F45),"x","")</f>
        <v/>
      </c>
      <c r="AA49" s="51" t="str">
        <f>IF(AND(B49&lt;=NKC!$N$8,B49&gt;=NKC!$M$8),"x","")</f>
        <v>x</v>
      </c>
      <c r="AB49" s="923">
        <v>3</v>
      </c>
      <c r="AF49" s="210"/>
      <c r="AG49" s="210"/>
    </row>
    <row r="50" spans="1:33" s="589" customFormat="1" ht="15.75" hidden="1" customHeight="1">
      <c r="A50" s="203" t="str">
        <f>IF(B50&lt;&gt;"",IF(AND(B50&gt;=_TM1,B50&lt;=_TM2,OR(TH!L46="1111",TH!M46="1111")),TH!D46,""),"")</f>
        <v/>
      </c>
      <c r="B50" s="36">
        <f t="shared" ref="B50:B51" si="6">IF(C50&lt;&gt;"",MONTH(C50),"")</f>
        <v>7</v>
      </c>
      <c r="C50" s="183">
        <f t="shared" ref="C50:C51" si="7">E50</f>
        <v>42581</v>
      </c>
      <c r="D50" s="190" t="s">
        <v>546</v>
      </c>
      <c r="E50" s="183">
        <v>42581</v>
      </c>
      <c r="F50" s="188" t="s">
        <v>780</v>
      </c>
      <c r="G50" s="479"/>
      <c r="H50" s="192"/>
      <c r="I50" s="255"/>
      <c r="J50" s="255"/>
      <c r="K50" s="597">
        <f>ROUND((4*10000+20*15000+1*25000)/1.1,0)</f>
        <v>331818</v>
      </c>
      <c r="L50" s="598" t="s">
        <v>261</v>
      </c>
      <c r="M50" s="598" t="s">
        <v>47</v>
      </c>
      <c r="N50" s="51" t="str">
        <f>IF(AND('331-CT'!$E$7=TH!H46,OR(L50="331",M50="331")),"331",IF(AND(OR(L50="131",M50="131"),H50='131-CT'!$E$7),"131",""))</f>
        <v/>
      </c>
      <c r="O50" s="891" t="str">
        <f>IF(AND('341-CT'!$E$9=H50,OR(LEFT(L50,3)=$O$7,LEFT(M50,3)=$O$7)),"x","")</f>
        <v/>
      </c>
      <c r="P50" s="51" t="str">
        <f>IF(AND($B50&gt;='111'!$N$11,$B50&lt;='111'!$O$11,OR($L50=$P$7,$M50=$P$7)),"x","")</f>
        <v>x</v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>641</v>
      </c>
      <c r="W50" s="51" t="str">
        <f>IF(OR(TH!L46=TH!$W$7,M50=TH!$W$7),"x","")</f>
        <v/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IF(AND(OR(LEFT(TH!L46,2)="15",LEFT(TH!M46,2)="15"),'152-CT'!$J$8=TH!F46),"x","")</f>
        <v/>
      </c>
      <c r="Z50" s="51" t="str">
        <f>IF(AND(OR(LEFT(TH!L46,2)="15",LEFT(TH!M46,2)="15"),TK!$E$7=TH!F46),"x","")</f>
        <v/>
      </c>
      <c r="AA50" s="51" t="str">
        <f>IF(AND(B50&lt;=NKC!$N$8,B50&gt;=NKC!$M$8),"x","")</f>
        <v>x</v>
      </c>
      <c r="AB50" s="923">
        <v>3</v>
      </c>
      <c r="AF50" s="210"/>
      <c r="AG50" s="210"/>
    </row>
    <row r="51" spans="1:33" s="589" customFormat="1" ht="15.75" hidden="1" customHeight="1">
      <c r="A51" s="203" t="str">
        <f>IF(B51&lt;&gt;"",IF(AND(B51&gt;=_TM1,B51&lt;=_TM2,OR(TH!L47="1111",TH!M47="1111")),TH!D47,""),"")</f>
        <v/>
      </c>
      <c r="B51" s="36">
        <f t="shared" si="6"/>
        <v>7</v>
      </c>
      <c r="C51" s="183">
        <f t="shared" si="7"/>
        <v>42581</v>
      </c>
      <c r="D51" s="190" t="s">
        <v>546</v>
      </c>
      <c r="E51" s="183">
        <v>42581</v>
      </c>
      <c r="F51" s="188" t="s">
        <v>781</v>
      </c>
      <c r="G51" s="479"/>
      <c r="H51" s="192"/>
      <c r="I51" s="255"/>
      <c r="J51" s="255"/>
      <c r="K51" s="597">
        <v>33182</v>
      </c>
      <c r="L51" s="598" t="s">
        <v>9</v>
      </c>
      <c r="M51" s="598" t="s">
        <v>47</v>
      </c>
      <c r="N51" s="51" t="str">
        <f>IF(AND('331-CT'!$E$7=TH!H47,OR(L51="331",M51="331")),"331",IF(AND(OR(L51="131",M51="131"),H51='131-CT'!$E$7),"131",""))</f>
        <v/>
      </c>
      <c r="O51" s="891" t="str">
        <f>IF(AND('341-CT'!$E$9=H51,OR(LEFT(L51,3)=$O$7,LEFT(M51,3)=$O$7)),"x","")</f>
        <v/>
      </c>
      <c r="P51" s="51" t="str">
        <f>IF(AND($B51&gt;='111'!$N$11,$B51&lt;='111'!$O$11,OR($L51=$P$7,$M51=$P$7)),"x","")</f>
        <v>x</v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IF(OR(TH!L47=TH!$W$7,M51=TH!$W$7),"x","")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IF(AND(OR(LEFT(TH!L47,2)="15",LEFT(TH!M47,2)="15"),'152-CT'!$J$8=TH!F47),"x","")</f>
        <v/>
      </c>
      <c r="Z51" s="51" t="str">
        <f>IF(AND(OR(LEFT(TH!L47,2)="15",LEFT(TH!M47,2)="15"),TK!$E$7=TH!F47),"x","")</f>
        <v/>
      </c>
      <c r="AA51" s="51" t="str">
        <f>IF(AND(B51&lt;=NKC!$N$8,B51&gt;=NKC!$M$8),"x","")</f>
        <v>x</v>
      </c>
      <c r="AB51" s="923">
        <v>3</v>
      </c>
      <c r="AF51" s="210"/>
      <c r="AG51" s="210"/>
    </row>
    <row r="52" spans="1:33" s="589" customFormat="1" ht="15.75" hidden="1" customHeight="1">
      <c r="A52" s="203" t="str">
        <f>IF(B52&lt;&gt;"",IF(AND(B52&gt;=_TM1,B52&lt;=_TM2,OR(TH!L54="1111",TH!M54="1111")),TH!D54,""),"")</f>
        <v/>
      </c>
      <c r="B52" s="36">
        <f t="shared" si="3"/>
        <v>8</v>
      </c>
      <c r="C52" s="183">
        <f t="shared" si="5"/>
        <v>42590</v>
      </c>
      <c r="D52" s="190" t="s">
        <v>549</v>
      </c>
      <c r="E52" s="183">
        <v>42590</v>
      </c>
      <c r="F52" s="188" t="s">
        <v>526</v>
      </c>
      <c r="G52" s="479" t="s">
        <v>525</v>
      </c>
      <c r="H52" s="192" t="s">
        <v>524</v>
      </c>
      <c r="I52" s="255"/>
      <c r="J52" s="255"/>
      <c r="K52" s="597">
        <v>1400000</v>
      </c>
      <c r="L52" s="598" t="s">
        <v>83</v>
      </c>
      <c r="M52" s="598" t="s">
        <v>47</v>
      </c>
      <c r="N52" s="51" t="str">
        <f>IF(AND('331-CT'!$E$7=TH!H54,OR(L52="331",M52="331")),"331",IF(AND(OR(L52="131",M52="131"),H52='131-CT'!$E$7),"131",""))</f>
        <v/>
      </c>
      <c r="O52" s="891" t="str">
        <f>IF(AND('341-CT'!$E$9=H52,OR(LEFT(L52,3)=$O$7,LEFT(M52,3)=$O$7)),"x","")</f>
        <v/>
      </c>
      <c r="P52" s="51" t="str">
        <f>IF(AND($B52&gt;='111'!$N$11,$B52&lt;='111'!$O$11,OR($L52=$P$7,$M52=$P$7)),"x","")</f>
        <v>x</v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IF(OR(TH!L54=TH!$W$7,M52=TH!$W$7),"x","")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IF(AND(OR(LEFT(TH!L54,2)="15",LEFT(TH!M54,2)="15"),'152-CT'!$J$8=TH!F54),"x","")</f>
        <v/>
      </c>
      <c r="Z52" s="51" t="str">
        <f>IF(AND(OR(LEFT(TH!L54,2)="15",LEFT(TH!M54,2)="15"),TK!$E$7=TH!F54),"x","")</f>
        <v/>
      </c>
      <c r="AA52" s="51" t="str">
        <f>IF(AND(B52&lt;=NKC!$N$8,B52&gt;=NKC!$M$8),"x","")</f>
        <v>x</v>
      </c>
      <c r="AB52" s="923">
        <v>3</v>
      </c>
    </row>
    <row r="53" spans="1:33" s="589" customFormat="1" ht="15.75" hidden="1" customHeight="1">
      <c r="A53" s="203" t="str">
        <f>IF(B53&lt;&gt;"",IF(AND(B53&gt;=_TM1,B53&lt;=_TM2,OR(TH!L55="1111",TH!M55="1111")),TH!D55,""),"")</f>
        <v/>
      </c>
      <c r="B53" s="36">
        <f t="shared" si="3"/>
        <v>8</v>
      </c>
      <c r="C53" s="183">
        <f t="shared" si="5"/>
        <v>42590</v>
      </c>
      <c r="D53" s="190" t="s">
        <v>549</v>
      </c>
      <c r="E53" s="183">
        <v>42590</v>
      </c>
      <c r="F53" s="188" t="s">
        <v>527</v>
      </c>
      <c r="G53" s="479" t="s">
        <v>525</v>
      </c>
      <c r="H53" s="192" t="s">
        <v>524</v>
      </c>
      <c r="I53" s="255"/>
      <c r="J53" s="255"/>
      <c r="K53" s="597">
        <v>140000</v>
      </c>
      <c r="L53" s="598" t="s">
        <v>9</v>
      </c>
      <c r="M53" s="598" t="s">
        <v>47</v>
      </c>
      <c r="N53" s="51" t="str">
        <f>IF(AND('331-CT'!$E$7=TH!H55,OR(L53="331",M53="331")),"331",IF(AND(OR(L53="131",M53="131"),H53='131-CT'!$E$7),"131",""))</f>
        <v/>
      </c>
      <c r="O53" s="891" t="str">
        <f>IF(AND('341-CT'!$E$9=H53,OR(LEFT(L53,3)=$O$7,LEFT(M53,3)=$O$7)),"x","")</f>
        <v/>
      </c>
      <c r="P53" s="51" t="str">
        <f>IF(AND($B53&gt;='111'!$N$11,$B53&lt;='111'!$O$11,OR($L53=$P$7,$M53=$P$7)),"x","")</f>
        <v>x</v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IF(OR(TH!L55=TH!$W$7,M53=TH!$W$7),"x","")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IF(AND(OR(LEFT(TH!L55,2)="15",LEFT(TH!M55,2)="15"),'152-CT'!$J$8=TH!F55),"x","")</f>
        <v/>
      </c>
      <c r="Z53" s="51" t="str">
        <f>IF(AND(OR(LEFT(TH!L55,2)="15",LEFT(TH!M55,2)="15"),TK!$E$7=TH!F55),"x","")</f>
        <v/>
      </c>
      <c r="AA53" s="51" t="str">
        <f>IF(AND(B53&lt;=NKC!$N$8,B53&gt;=NKC!$M$8),"x","")</f>
        <v>x</v>
      </c>
      <c r="AB53" s="923">
        <v>3</v>
      </c>
    </row>
    <row r="54" spans="1:33" s="589" customFormat="1" ht="15.75" customHeight="1">
      <c r="A54" s="203" t="str">
        <f>IF(B54&lt;&gt;"",IF(AND(B54&gt;=_TM1,B54&lt;=_TM2,OR(TH!L59="1111",TH!M59="1111")),TH!D59,""),"")</f>
        <v/>
      </c>
      <c r="B54" s="36">
        <f t="shared" si="3"/>
        <v>8</v>
      </c>
      <c r="C54" s="183">
        <f t="shared" si="5"/>
        <v>42595</v>
      </c>
      <c r="D54" s="183" t="s">
        <v>547</v>
      </c>
      <c r="E54" s="183">
        <v>42595</v>
      </c>
      <c r="F54" s="188" t="s">
        <v>531</v>
      </c>
      <c r="G54" s="479" t="s">
        <v>530</v>
      </c>
      <c r="H54" s="192" t="s">
        <v>529</v>
      </c>
      <c r="I54" s="255">
        <v>19810</v>
      </c>
      <c r="J54" s="255">
        <v>780</v>
      </c>
      <c r="K54" s="37">
        <f>ROUND(I54*J54,0)</f>
        <v>15451800</v>
      </c>
      <c r="L54" s="193" t="s">
        <v>161</v>
      </c>
      <c r="M54" s="193" t="s">
        <v>8</v>
      </c>
      <c r="N54" s="51" t="str">
        <f>IF(AND('331-CT'!$E$7=TH!H59,OR(L54="331",M54="331")),"331",IF(AND(OR(L54="131",M54="131"),H54='131-CT'!$E$7),"131",""))</f>
        <v/>
      </c>
      <c r="O54" s="891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IF(OR(TH!L59=TH!$W$7,M54=TH!$W$7),"x","")</f>
        <v>x</v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IF(AND(OR(LEFT(TH!L59,2)="15",LEFT(TH!M59,2)="15"),'152-CT'!$J$8=TH!F59),"x","")</f>
        <v/>
      </c>
      <c r="Z54" s="51" t="str">
        <f>IF(AND(OR(LEFT(TH!L59,2)="15",LEFT(TH!M59,2)="15"),TK!$E$7=TH!F59),"x","")</f>
        <v/>
      </c>
      <c r="AA54" s="51" t="str">
        <f>IF(AND(B54&lt;=NKC!$N$8,B54&gt;=NKC!$M$8),"x","")</f>
        <v>x</v>
      </c>
      <c r="AB54" s="923">
        <v>3</v>
      </c>
    </row>
    <row r="55" spans="1:33" s="589" customFormat="1" ht="15.75" hidden="1" customHeight="1">
      <c r="A55" s="203" t="str">
        <f>IF(B55&lt;&gt;"",IF(AND(B55&gt;=_TM1,B55&lt;=_TM2,OR(TH!L60="1111",TH!M60="1111")),TH!D60,""),"")</f>
        <v/>
      </c>
      <c r="B55" s="36">
        <f t="shared" si="3"/>
        <v>8</v>
      </c>
      <c r="C55" s="183">
        <f t="shared" si="5"/>
        <v>42595</v>
      </c>
      <c r="D55" s="183" t="s">
        <v>547</v>
      </c>
      <c r="E55" s="183">
        <v>42595</v>
      </c>
      <c r="F55" s="188" t="s">
        <v>532</v>
      </c>
      <c r="G55" s="479" t="s">
        <v>530</v>
      </c>
      <c r="H55" s="192" t="s">
        <v>529</v>
      </c>
      <c r="I55" s="255"/>
      <c r="J55" s="255"/>
      <c r="K55" s="597">
        <v>1545180</v>
      </c>
      <c r="L55" s="193" t="s">
        <v>9</v>
      </c>
      <c r="M55" s="193" t="s">
        <v>8</v>
      </c>
      <c r="N55" s="51" t="str">
        <f>IF(AND('331-CT'!$E$7=TH!H60,OR(L55="331",M55="331")),"331",IF(AND(OR(L55="131",M55="131"),H55='131-CT'!$E$7),"131",""))</f>
        <v/>
      </c>
      <c r="O55" s="891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IF(OR(TH!L60=TH!$W$7,M55=TH!$W$7),"x","")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IF(AND(OR(LEFT(TH!L60,2)="15",LEFT(TH!M60,2)="15"),'152-CT'!$J$8=TH!F60),"x","")</f>
        <v/>
      </c>
      <c r="Z55" s="51" t="str">
        <f>IF(AND(OR(LEFT(TH!L60,2)="15",LEFT(TH!M60,2)="15"),TK!$E$7=TH!F60),"x","")</f>
        <v/>
      </c>
      <c r="AA55" s="51" t="str">
        <f>IF(AND(B55&lt;=NKC!$N$8,B55&gt;=NKC!$M$8),"x","")</f>
        <v>x</v>
      </c>
      <c r="AB55" s="923">
        <v>3</v>
      </c>
    </row>
    <row r="56" spans="1:33" s="589" customFormat="1" ht="15.75" hidden="1" customHeight="1">
      <c r="A56" s="203" t="str">
        <f>IF(B56&lt;&gt;"",IF(AND(B56&gt;=_TM1,B56&lt;=_TM2,OR(TH!L61="1111",TH!M61="1111")),TH!D61,""),"")</f>
        <v/>
      </c>
      <c r="B56" s="36">
        <f t="shared" ref="B56:B77" si="8">IF(C56&lt;&gt;"",MONTH(C56),"")</f>
        <v>8</v>
      </c>
      <c r="C56" s="183">
        <f t="shared" si="5"/>
        <v>42595</v>
      </c>
      <c r="D56" s="183" t="s">
        <v>549</v>
      </c>
      <c r="E56" s="183">
        <v>42595</v>
      </c>
      <c r="F56" s="188" t="s">
        <v>552</v>
      </c>
      <c r="G56" s="479" t="s">
        <v>530</v>
      </c>
      <c r="H56" s="192" t="s">
        <v>529</v>
      </c>
      <c r="I56" s="255"/>
      <c r="J56" s="255"/>
      <c r="K56" s="597">
        <v>16996980</v>
      </c>
      <c r="L56" s="193" t="s">
        <v>8</v>
      </c>
      <c r="M56" s="193" t="s">
        <v>47</v>
      </c>
      <c r="N56" s="51" t="str">
        <f>IF(AND('331-CT'!$E$7=TH!H61,OR(L56="331",M56="331")),"331",IF(AND(OR(L56="131",M56="131"),H56='131-CT'!$E$7),"131",""))</f>
        <v/>
      </c>
      <c r="O56" s="891" t="str">
        <f>IF(AND('341-CT'!$E$9=H56,OR(LEFT(L56,3)=$O$7,LEFT(M56,3)=$O$7)),"x","")</f>
        <v/>
      </c>
      <c r="P56" s="51" t="str">
        <f>IF(AND($B56&gt;='111'!$N$11,$B56&lt;='111'!$O$11,OR($L56=$P$7,$M56=$P$7)),"x","")</f>
        <v>x</v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/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IF(OR(TH!L61=TH!$W$7,M56=TH!$W$7),"x","")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IF(AND(OR(LEFT(TH!L61,2)="15",LEFT(TH!M61,2)="15"),'152-CT'!$J$8=TH!F61),"x","")</f>
        <v/>
      </c>
      <c r="Z56" s="51" t="str">
        <f>IF(AND(OR(LEFT(TH!L61,2)="15",LEFT(TH!M61,2)="15"),TK!$E$7=TH!F61),"x","")</f>
        <v/>
      </c>
      <c r="AA56" s="51" t="str">
        <f>IF(AND(B56&lt;=NKC!$N$8,B56&gt;=NKC!$M$8),"x","")</f>
        <v>x</v>
      </c>
      <c r="AB56" s="923"/>
    </row>
    <row r="57" spans="1:33" s="589" customFormat="1" ht="15.75" customHeight="1">
      <c r="A57" s="203" t="str">
        <f>IF(B57&lt;&gt;"",IF(AND(B57&gt;=_TM1,B57&lt;=_TM2,OR(TH!L61="1111",TH!M61="1111")),TH!D61,""),"")</f>
        <v/>
      </c>
      <c r="B57" s="36">
        <f t="shared" si="8"/>
        <v>8</v>
      </c>
      <c r="C57" s="183">
        <f t="shared" si="5"/>
        <v>42601</v>
      </c>
      <c r="D57" s="183" t="s">
        <v>548</v>
      </c>
      <c r="E57" s="183">
        <v>42601</v>
      </c>
      <c r="F57" s="188" t="s">
        <v>531</v>
      </c>
      <c r="G57" s="479" t="s">
        <v>533</v>
      </c>
      <c r="H57" s="192" t="s">
        <v>529</v>
      </c>
      <c r="I57" s="255">
        <v>14330</v>
      </c>
      <c r="J57" s="255">
        <v>780</v>
      </c>
      <c r="K57" s="37">
        <f>ROUND(I57*J57,0)</f>
        <v>11177400</v>
      </c>
      <c r="L57" s="193" t="s">
        <v>161</v>
      </c>
      <c r="M57" s="193" t="s">
        <v>8</v>
      </c>
      <c r="N57" s="51" t="str">
        <f>IF(AND('331-CT'!$E$7=TH!H61,OR(L57="331",M57="331")),"331",IF(AND(OR(L57="131",M57="131"),H57='131-CT'!$E$7),"131",""))</f>
        <v/>
      </c>
      <c r="O57" s="891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/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1" t="str">
        <f>IF(OR(TH!L61=TH!$W$7,M57=TH!$W$7),"x","")</f>
        <v/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IF(AND(OR(LEFT(TH!L61,2)="15",LEFT(TH!M61,2)="15"),'152-CT'!$J$8=TH!F61),"x","")</f>
        <v/>
      </c>
      <c r="Z57" s="51" t="str">
        <f>IF(AND(OR(LEFT(TH!L61,2)="15",LEFT(TH!M61,2)="15"),TK!$E$7=TH!F61),"x","")</f>
        <v/>
      </c>
      <c r="AA57" s="51" t="str">
        <f>IF(AND(B57&lt;=NKC!$N$8,B57&gt;=NKC!$M$8),"x","")</f>
        <v>x</v>
      </c>
      <c r="AB57" s="923">
        <v>3</v>
      </c>
    </row>
    <row r="58" spans="1:33" s="589" customFormat="1" ht="15.75" hidden="1" customHeight="1">
      <c r="A58" s="203" t="str">
        <f>IF(B58&lt;&gt;"",IF(AND(B58&gt;=_TM1,B58&lt;=_TM2,OR(TH!L62="1111",TH!M62="1111")),TH!D62,""),"")</f>
        <v/>
      </c>
      <c r="B58" s="36">
        <f t="shared" si="8"/>
        <v>8</v>
      </c>
      <c r="C58" s="183">
        <f t="shared" si="5"/>
        <v>42601</v>
      </c>
      <c r="D58" s="183" t="s">
        <v>548</v>
      </c>
      <c r="E58" s="183">
        <v>42601</v>
      </c>
      <c r="F58" s="188" t="s">
        <v>532</v>
      </c>
      <c r="G58" s="479" t="s">
        <v>533</v>
      </c>
      <c r="H58" s="192" t="s">
        <v>529</v>
      </c>
      <c r="I58" s="255"/>
      <c r="J58" s="255"/>
      <c r="K58" s="597">
        <v>1117740</v>
      </c>
      <c r="L58" s="193" t="s">
        <v>9</v>
      </c>
      <c r="M58" s="193" t="s">
        <v>8</v>
      </c>
      <c r="N58" s="51" t="str">
        <f>IF(AND('331-CT'!$E$7=TH!H62,OR(L58="331",M58="331")),"331",IF(AND(OR(L58="131",M58="131"),H58='131-CT'!$E$7),"131",""))</f>
        <v/>
      </c>
      <c r="O58" s="891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/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IF(OR(TH!L62=TH!$W$7,M58=TH!$W$7),"x","")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IF(AND(OR(LEFT(TH!L62,2)="15",LEFT(TH!M62,2)="15"),'152-CT'!$J$8=TH!F62),"x","")</f>
        <v/>
      </c>
      <c r="Z58" s="51" t="str">
        <f>IF(AND(OR(LEFT(TH!L62,2)="15",LEFT(TH!M62,2)="15"),TK!$E$7=TH!F62),"x","")</f>
        <v/>
      </c>
      <c r="AA58" s="51" t="str">
        <f>IF(AND(B58&lt;=NKC!$N$8,B58&gt;=NKC!$M$8),"x","")</f>
        <v>x</v>
      </c>
      <c r="AB58" s="923">
        <v>3</v>
      </c>
    </row>
    <row r="59" spans="1:33" s="589" customFormat="1" ht="15.75" hidden="1" customHeight="1">
      <c r="A59" s="203" t="str">
        <f>IF(B59&lt;&gt;"",IF(AND(B59&gt;=_TM1,B59&lt;=_TM2,OR(TH!L57="1111",TH!M57="1111")),TH!D57,""),"")</f>
        <v/>
      </c>
      <c r="B59" s="36">
        <f t="shared" si="8"/>
        <v>8</v>
      </c>
      <c r="C59" s="183">
        <f t="shared" si="5"/>
        <v>42604</v>
      </c>
      <c r="D59" s="183" t="s">
        <v>551</v>
      </c>
      <c r="E59" s="183">
        <v>42604</v>
      </c>
      <c r="F59" s="188" t="s">
        <v>526</v>
      </c>
      <c r="G59" s="479" t="s">
        <v>528</v>
      </c>
      <c r="H59" s="192" t="s">
        <v>524</v>
      </c>
      <c r="I59" s="255"/>
      <c r="J59" s="255"/>
      <c r="K59" s="597">
        <v>1840000</v>
      </c>
      <c r="L59" s="598" t="s">
        <v>83</v>
      </c>
      <c r="M59" s="598" t="s">
        <v>47</v>
      </c>
      <c r="N59" s="51" t="str">
        <f>IF(AND('331-CT'!$E$7=TH!H57,OR(L59="331",M59="331")),"331",IF(AND(OR(L59="131",M59="131"),H59='131-CT'!$E$7),"131",""))</f>
        <v/>
      </c>
      <c r="O59" s="891" t="str">
        <f>IF(AND('341-CT'!$E$9=H59,OR(LEFT(L59,3)=$O$7,LEFT(M59,3)=$O$7)),"x","")</f>
        <v/>
      </c>
      <c r="P59" s="51" t="str">
        <f>IF(AND($B59&gt;='111'!$N$11,$B59&lt;='111'!$O$11,OR($L59=$P$7,$M59=$P$7)),"x","")</f>
        <v>x</v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IF(OR(TH!L57=TH!$W$7,M59=TH!$W$7),"x","")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IF(AND(OR(LEFT(TH!L57,2)="15",LEFT(TH!M57,2)="15"),'152-CT'!$J$8=TH!F57),"x","")</f>
        <v/>
      </c>
      <c r="Z59" s="51" t="str">
        <f>IF(AND(OR(LEFT(TH!L57,2)="15",LEFT(TH!M57,2)="15"),TK!$E$7=TH!F57),"x","")</f>
        <v/>
      </c>
      <c r="AA59" s="51" t="str">
        <f>IF(AND(B59&lt;=NKC!$N$8,B59&gt;=NKC!$M$8),"x","")</f>
        <v>x</v>
      </c>
      <c r="AB59" s="923">
        <v>3</v>
      </c>
    </row>
    <row r="60" spans="1:33" s="589" customFormat="1" ht="15.75" hidden="1" customHeight="1">
      <c r="A60" s="203" t="str">
        <f>IF(B60&lt;&gt;"",IF(AND(B60&gt;=_TM1,B60&lt;=_TM2,OR(TH!L58="1111",TH!M58="1111")),TH!D58,""),"")</f>
        <v/>
      </c>
      <c r="B60" s="36">
        <f t="shared" si="8"/>
        <v>8</v>
      </c>
      <c r="C60" s="183">
        <f t="shared" si="5"/>
        <v>42604</v>
      </c>
      <c r="D60" s="183" t="s">
        <v>551</v>
      </c>
      <c r="E60" s="183">
        <v>42604</v>
      </c>
      <c r="F60" s="188" t="s">
        <v>527</v>
      </c>
      <c r="G60" s="479" t="s">
        <v>528</v>
      </c>
      <c r="H60" s="192" t="s">
        <v>524</v>
      </c>
      <c r="I60" s="255"/>
      <c r="J60" s="255"/>
      <c r="K60" s="597">
        <v>184000</v>
      </c>
      <c r="L60" s="598" t="s">
        <v>9</v>
      </c>
      <c r="M60" s="598" t="s">
        <v>47</v>
      </c>
      <c r="N60" s="51" t="str">
        <f>IF(AND('331-CT'!$E$7=TH!H58,OR(L60="331",M60="331")),"331",IF(AND(OR(L60="131",M60="131"),H60='131-CT'!$E$7),"131",""))</f>
        <v/>
      </c>
      <c r="O60" s="891" t="str">
        <f>IF(AND('341-CT'!$E$9=H60,OR(LEFT(L60,3)=$O$7,LEFT(M60,3)=$O$7)),"x","")</f>
        <v/>
      </c>
      <c r="P60" s="51" t="str">
        <f>IF(AND($B60&gt;='111'!$N$11,$B60&lt;='111'!$O$11,OR($L60=$P$7,$M60=$P$7)),"x","")</f>
        <v>x</v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IF(OR(TH!L58=TH!$W$7,M60=TH!$W$7),"x","")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IF(AND(OR(LEFT(TH!L58,2)="15",LEFT(TH!M58,2)="15"),'152-CT'!$J$8=TH!F58),"x","")</f>
        <v/>
      </c>
      <c r="Z60" s="51" t="str">
        <f>IF(AND(OR(LEFT(TH!L58,2)="15",LEFT(TH!M58,2)="15"),TK!$E$7=TH!F58),"x","")</f>
        <v/>
      </c>
      <c r="AA60" s="51" t="str">
        <f>IF(AND(B60&lt;=NKC!$N$8,B60&gt;=NKC!$M$8),"x","")</f>
        <v>x</v>
      </c>
      <c r="AB60" s="923">
        <v>3</v>
      </c>
    </row>
    <row r="61" spans="1:33" s="589" customFormat="1" ht="15.75" customHeight="1">
      <c r="A61" s="203" t="str">
        <f>IF(B61&lt;&gt;"",IF(AND(B61&gt;=_TM1,B61&lt;=_TM2,OR(TH!L66="1111",TH!M66="1111")),TH!D66,""),"")</f>
        <v/>
      </c>
      <c r="B61" s="36">
        <f t="shared" si="8"/>
        <v>8</v>
      </c>
      <c r="C61" s="183">
        <f t="shared" si="5"/>
        <v>42613</v>
      </c>
      <c r="D61" s="183" t="s">
        <v>550</v>
      </c>
      <c r="E61" s="183">
        <v>42613</v>
      </c>
      <c r="F61" s="188" t="s">
        <v>531</v>
      </c>
      <c r="G61" s="479" t="s">
        <v>534</v>
      </c>
      <c r="H61" s="192" t="s">
        <v>529</v>
      </c>
      <c r="I61" s="255">
        <v>12830</v>
      </c>
      <c r="J61" s="255">
        <v>780</v>
      </c>
      <c r="K61" s="37">
        <f>ROUND(I61*J61,0)</f>
        <v>10007400</v>
      </c>
      <c r="L61" s="193" t="s">
        <v>161</v>
      </c>
      <c r="M61" s="193" t="s">
        <v>8</v>
      </c>
      <c r="N61" s="51" t="str">
        <f>IF(AND('331-CT'!$E$7=TH!H66,OR(L61="331",M61="331")),"331",IF(AND(OR(L61="131",M61="131"),H61='131-CT'!$E$7),"131",""))</f>
        <v/>
      </c>
      <c r="O61" s="891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IF(OR(TH!L66=TH!$W$7,M61=TH!$W$7),"x","")</f>
        <v/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IF(AND(OR(LEFT(TH!L66,2)="15",LEFT(TH!M66,2)="15"),'152-CT'!$J$8=TH!F66),"x","")</f>
        <v/>
      </c>
      <c r="Z61" s="51" t="str">
        <f>IF(AND(OR(LEFT(TH!L66,2)="15",LEFT(TH!M66,2)="15"),TK!$E$7=TH!F66),"x","")</f>
        <v/>
      </c>
      <c r="AA61" s="51" t="str">
        <f>IF(AND(B61&lt;=NKC!$N$8,B61&gt;=NKC!$M$8),"x","")</f>
        <v>x</v>
      </c>
      <c r="AB61" s="923">
        <v>3</v>
      </c>
    </row>
    <row r="62" spans="1:33" s="589" customFormat="1" ht="15.75" hidden="1" customHeight="1">
      <c r="A62" s="203" t="str">
        <f>IF(B62&lt;&gt;"",IF(AND(B62&gt;=_TM1,B62&lt;=_TM2,OR(TH!L67="1111",TH!M67="1111")),TH!D67,""),"")</f>
        <v/>
      </c>
      <c r="B62" s="36">
        <f t="shared" si="8"/>
        <v>8</v>
      </c>
      <c r="C62" s="183">
        <f t="shared" si="5"/>
        <v>42613</v>
      </c>
      <c r="D62" s="183" t="s">
        <v>550</v>
      </c>
      <c r="E62" s="183">
        <v>42613</v>
      </c>
      <c r="F62" s="188" t="s">
        <v>532</v>
      </c>
      <c r="G62" s="479" t="s">
        <v>534</v>
      </c>
      <c r="H62" s="192" t="s">
        <v>529</v>
      </c>
      <c r="I62" s="255"/>
      <c r="J62" s="255"/>
      <c r="K62" s="597">
        <v>1000740</v>
      </c>
      <c r="L62" s="193" t="s">
        <v>9</v>
      </c>
      <c r="M62" s="193" t="s">
        <v>8</v>
      </c>
      <c r="N62" s="51" t="str">
        <f>IF(AND('331-CT'!$E$7=TH!H67,OR(L62="331",M62="331")),"331",IF(AND(OR(L62="131",M62="131"),H62='131-CT'!$E$7),"131",""))</f>
        <v/>
      </c>
      <c r="O62" s="891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IF(OR(TH!L67=TH!$W$7,M62=TH!$W$7),"x","")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IF(AND(OR(LEFT(TH!L67,2)="15",LEFT(TH!M67,2)="15"),'152-CT'!$J$8=TH!F67),"x","")</f>
        <v/>
      </c>
      <c r="Z62" s="51" t="str">
        <f>IF(AND(OR(LEFT(TH!L67,2)="15",LEFT(TH!M67,2)="15"),TK!$E$7=TH!F67),"x","")</f>
        <v/>
      </c>
      <c r="AA62" s="51" t="str">
        <f>IF(AND(B62&lt;=NKC!$N$8,B62&gt;=NKC!$M$8),"x","")</f>
        <v>x</v>
      </c>
      <c r="AB62" s="923">
        <v>3</v>
      </c>
    </row>
    <row r="63" spans="1:33" s="589" customFormat="1" ht="15.75" hidden="1" customHeight="1">
      <c r="A63" s="203" t="str">
        <f>IF(B63&lt;&gt;"",IF(AND(B63&gt;=_TM1,B63&lt;=_TM2,OR(TH!L74="1111",TH!M74="1111")),TH!D74,""),"")</f>
        <v/>
      </c>
      <c r="B63" s="36">
        <f t="shared" si="8"/>
        <v>8</v>
      </c>
      <c r="C63" s="183">
        <f t="shared" si="5"/>
        <v>42613</v>
      </c>
      <c r="D63" s="183" t="s">
        <v>553</v>
      </c>
      <c r="E63" s="183">
        <v>42613</v>
      </c>
      <c r="F63" s="188" t="s">
        <v>552</v>
      </c>
      <c r="G63" s="479" t="s">
        <v>530</v>
      </c>
      <c r="H63" s="192" t="s">
        <v>529</v>
      </c>
      <c r="I63" s="255"/>
      <c r="J63" s="255"/>
      <c r="K63" s="597">
        <v>11008140</v>
      </c>
      <c r="L63" s="193" t="s">
        <v>8</v>
      </c>
      <c r="M63" s="193" t="s">
        <v>47</v>
      </c>
      <c r="N63" s="51" t="str">
        <f>IF(AND('331-CT'!$E$7=TH!H74,OR(L63="331",M63="331")),"331",IF(AND(OR(L63="131",M63="131"),H63='131-CT'!$E$7),"131",""))</f>
        <v/>
      </c>
      <c r="O63" s="891" t="str">
        <f>IF(AND('341-CT'!$E$9=H63,OR(LEFT(L63,3)=$O$7,LEFT(M63,3)=$O$7)),"x","")</f>
        <v/>
      </c>
      <c r="P63" s="51" t="str">
        <f>IF(AND($B63&gt;='111'!$N$11,$B63&lt;='111'!$O$11,OR($L63=$P$7,$M63=$P$7)),"x","")</f>
        <v>x</v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/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IF(OR(TH!L74=TH!$W$7,M63=TH!$W$7),"x","")</f>
        <v>x</v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IF(AND(OR(LEFT(TH!L74,2)="15",LEFT(TH!M74,2)="15"),'152-CT'!$J$8=TH!F74),"x","")</f>
        <v/>
      </c>
      <c r="Z63" s="51" t="str">
        <f>IF(AND(OR(LEFT(TH!L74,2)="15",LEFT(TH!M74,2)="15"),TK!$E$7=TH!F74),"x","")</f>
        <v/>
      </c>
      <c r="AA63" s="51" t="str">
        <f>IF(AND(B63&lt;=NKC!$N$8,B63&gt;=NKC!$M$8),"x","")</f>
        <v>x</v>
      </c>
      <c r="AB63" s="923"/>
    </row>
    <row r="64" spans="1:33" s="589" customFormat="1" ht="15.75" hidden="1" customHeight="1">
      <c r="A64" s="203" t="str">
        <f>IF(B64&lt;&gt;"",IF(AND(B64&gt;=_TM1,B64&lt;=_TM2,OR(TH!L60="1111",TH!M60="1111")),TH!D60,""),"")</f>
        <v/>
      </c>
      <c r="B64" s="36">
        <f t="shared" si="8"/>
        <v>8</v>
      </c>
      <c r="C64" s="183">
        <f t="shared" si="5"/>
        <v>42613</v>
      </c>
      <c r="D64" s="190" t="s">
        <v>546</v>
      </c>
      <c r="E64" s="183">
        <v>42613</v>
      </c>
      <c r="F64" s="188" t="s">
        <v>780</v>
      </c>
      <c r="G64" s="479"/>
      <c r="H64" s="192"/>
      <c r="I64" s="255"/>
      <c r="J64" s="255"/>
      <c r="K64" s="597">
        <f>ROUND((15*15000+5*25000+6*30000+2*40000)/1.1,0)</f>
        <v>554545</v>
      </c>
      <c r="L64" s="598" t="s">
        <v>261</v>
      </c>
      <c r="M64" s="598" t="s">
        <v>47</v>
      </c>
      <c r="N64" s="51" t="str">
        <f>IF(AND('331-CT'!$E$7=TH!H60,OR(L64="331",M64="331")),"331",IF(AND(OR(L64="131",M64="131"),H64='131-CT'!$E$7),"131",""))</f>
        <v/>
      </c>
      <c r="O64" s="891" t="str">
        <f>IF(AND('341-CT'!$E$9=H64,OR(LEFT(L64,3)=$O$7,LEFT(M64,3)=$O$7)),"x","")</f>
        <v/>
      </c>
      <c r="P64" s="51" t="str">
        <f>IF(AND($B64&gt;='111'!$N$11,$B64&lt;='111'!$O$11,OR($L64=$P$7,$M64=$P$7)),"x","")</f>
        <v>x</v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/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641</v>
      </c>
      <c r="W64" s="51" t="str">
        <f>IF(OR(TH!L60=TH!$W$7,M64=TH!$W$7),"x","")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IF(AND(OR(LEFT(TH!L60,2)="15",LEFT(TH!M60,2)="15"),'152-CT'!$J$8=TH!F60),"x","")</f>
        <v/>
      </c>
      <c r="Z64" s="51" t="str">
        <f>IF(AND(OR(LEFT(TH!L60,2)="15",LEFT(TH!M60,2)="15"),TK!$E$7=TH!F60),"x","")</f>
        <v/>
      </c>
      <c r="AA64" s="51" t="str">
        <f>IF(AND(B64&lt;=NKC!$N$8,B64&gt;=NKC!$M$8),"x","")</f>
        <v>x</v>
      </c>
      <c r="AB64" s="923">
        <v>3</v>
      </c>
      <c r="AF64" s="210"/>
      <c r="AG64" s="210"/>
    </row>
    <row r="65" spans="1:33" s="589" customFormat="1" ht="15.75" hidden="1" customHeight="1">
      <c r="A65" s="203" t="str">
        <f>IF(B65&lt;&gt;"",IF(AND(B65&gt;=_TM1,B65&lt;=_TM2,OR(TH!L61="1111",TH!M61="1111")),TH!D61,""),"")</f>
        <v/>
      </c>
      <c r="B65" s="36">
        <f t="shared" si="8"/>
        <v>8</v>
      </c>
      <c r="C65" s="183">
        <f t="shared" si="5"/>
        <v>42613</v>
      </c>
      <c r="D65" s="190" t="s">
        <v>546</v>
      </c>
      <c r="E65" s="183">
        <v>42613</v>
      </c>
      <c r="F65" s="188" t="s">
        <v>781</v>
      </c>
      <c r="G65" s="479"/>
      <c r="H65" s="192"/>
      <c r="I65" s="255"/>
      <c r="J65" s="255"/>
      <c r="K65" s="597">
        <v>55455</v>
      </c>
      <c r="L65" s="598" t="s">
        <v>9</v>
      </c>
      <c r="M65" s="598" t="s">
        <v>47</v>
      </c>
      <c r="N65" s="51" t="str">
        <f>IF(AND('331-CT'!$E$7=TH!H61,OR(L65="331",M65="331")),"331",IF(AND(OR(L65="131",M65="131"),H65='131-CT'!$E$7),"131",""))</f>
        <v/>
      </c>
      <c r="O65" s="891" t="str">
        <f>IF(AND('341-CT'!$E$9=H65,OR(LEFT(L65,3)=$O$7,LEFT(M65,3)=$O$7)),"x","")</f>
        <v/>
      </c>
      <c r="P65" s="51" t="str">
        <f>IF(AND($B65&gt;='111'!$N$11,$B65&lt;='111'!$O$11,OR($L65=$P$7,$M65=$P$7)),"x","")</f>
        <v>x</v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/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IF(OR(TH!L61=TH!$W$7,M65=TH!$W$7),"x","")</f>
        <v/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IF(AND(OR(LEFT(TH!L61,2)="15",LEFT(TH!M61,2)="15"),'152-CT'!$J$8=TH!F61),"x","")</f>
        <v/>
      </c>
      <c r="Z65" s="51" t="str">
        <f>IF(AND(OR(LEFT(TH!L61,2)="15",LEFT(TH!M61,2)="15"),TK!$E$7=TH!F61),"x","")</f>
        <v/>
      </c>
      <c r="AA65" s="51" t="str">
        <f>IF(AND(B65&lt;=NKC!$N$8,B65&gt;=NKC!$M$8),"x","")</f>
        <v>x</v>
      </c>
      <c r="AB65" s="923">
        <v>3</v>
      </c>
      <c r="AF65" s="210"/>
      <c r="AG65" s="210"/>
    </row>
    <row r="66" spans="1:33" s="589" customFormat="1" ht="15.75" hidden="1" customHeight="1">
      <c r="A66" s="203" t="str">
        <f>IF(B66&lt;&gt;"",IF(AND(B66&gt;=_TM1,B66&lt;=_TM2,OR(TH!L42="1111",TH!M42="1111")),TH!D42,""),"")</f>
        <v/>
      </c>
      <c r="B66" s="36">
        <f t="shared" si="8"/>
        <v>9</v>
      </c>
      <c r="C66" s="183">
        <f t="shared" si="5"/>
        <v>42620</v>
      </c>
      <c r="D66" s="183" t="s">
        <v>554</v>
      </c>
      <c r="E66" s="183">
        <v>42620</v>
      </c>
      <c r="F66" s="188" t="s">
        <v>496</v>
      </c>
      <c r="G66" s="479" t="s">
        <v>515</v>
      </c>
      <c r="H66" s="192" t="s">
        <v>514</v>
      </c>
      <c r="I66" s="255"/>
      <c r="J66" s="255"/>
      <c r="K66" s="597">
        <v>5638527</v>
      </c>
      <c r="L66" s="598" t="s">
        <v>261</v>
      </c>
      <c r="M66" s="598" t="s">
        <v>47</v>
      </c>
      <c r="N66" s="51" t="str">
        <f>IF(AND('331-CT'!$E$7=TH!H42,OR(L66="331",M66="331")),"331",IF(AND(OR(L66="131",M66="131"),H66='131-CT'!$E$7),"131",""))</f>
        <v/>
      </c>
      <c r="O66" s="891" t="str">
        <f>IF(AND('341-CT'!$E$9=H66,OR(LEFT(L66,3)=$O$7,LEFT(M66,3)=$O$7)),"x","")</f>
        <v/>
      </c>
      <c r="P66" s="51" t="str">
        <f>IF(AND($B66&gt;='111'!$N$11,$B66&lt;='111'!$O$11,OR($L66=$P$7,$M66=$P$7)),"x","")</f>
        <v>x</v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/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641</v>
      </c>
      <c r="W66" s="51" t="str">
        <f>IF(OR(TH!L42=TH!$W$7,M66=TH!$W$7),"x","")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IF(AND(OR(LEFT(TH!L42,2)="15",LEFT(TH!M42,2)="15"),'152-CT'!$J$8=TH!F42),"x","")</f>
        <v/>
      </c>
      <c r="Z66" s="51" t="str">
        <f>IF(AND(OR(LEFT(TH!L42,2)="15",LEFT(TH!M42,2)="15"),TK!$E$7=TH!F42),"x","")</f>
        <v/>
      </c>
      <c r="AA66" s="51" t="str">
        <f>IF(AND(B66&lt;=NKC!$N$8,B66&gt;=NKC!$M$8),"x","")</f>
        <v>x</v>
      </c>
      <c r="AB66" s="923">
        <v>3</v>
      </c>
    </row>
    <row r="67" spans="1:33" s="589" customFormat="1" ht="15.75" hidden="1" customHeight="1">
      <c r="A67" s="203" t="str">
        <f>IF(B67&lt;&gt;"",IF(AND(B67&gt;=_TM1,B67&lt;=_TM2,OR(TH!L43="1111",TH!M43="1111")),TH!D43,""),"")</f>
        <v/>
      </c>
      <c r="B67" s="36">
        <f t="shared" si="8"/>
        <v>9</v>
      </c>
      <c r="C67" s="183">
        <f t="shared" si="5"/>
        <v>42620</v>
      </c>
      <c r="D67" s="183" t="s">
        <v>554</v>
      </c>
      <c r="E67" s="183">
        <v>42620</v>
      </c>
      <c r="F67" s="188" t="s">
        <v>497</v>
      </c>
      <c r="G67" s="479" t="s">
        <v>515</v>
      </c>
      <c r="H67" s="192" t="s">
        <v>514</v>
      </c>
      <c r="I67" s="255"/>
      <c r="J67" s="255"/>
      <c r="K67" s="597">
        <v>563853</v>
      </c>
      <c r="L67" s="598" t="s">
        <v>9</v>
      </c>
      <c r="M67" s="598" t="s">
        <v>47</v>
      </c>
      <c r="N67" s="51" t="str">
        <f>IF(AND('331-CT'!$E$7=TH!H43,OR(L67="331",M67="331")),"331",IF(AND(OR(L67="131",M67="131"),H67='131-CT'!$E$7),"131",""))</f>
        <v/>
      </c>
      <c r="O67" s="891" t="str">
        <f>IF(AND('341-CT'!$E$9=H67,OR(LEFT(L67,3)=$O$7,LEFT(M67,3)=$O$7)),"x","")</f>
        <v/>
      </c>
      <c r="P67" s="51" t="str">
        <f>IF(AND($B67&gt;='111'!$N$11,$B67&lt;='111'!$O$11,OR($L67=$P$7,$M67=$P$7)),"x","")</f>
        <v>x</v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/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IF(OR(TH!L43=TH!$W$7,M67=TH!$W$7),"x","")</f>
        <v/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IF(AND(OR(LEFT(TH!L43,2)="15",LEFT(TH!M43,2)="15"),'152-CT'!$J$8=TH!F43),"x","")</f>
        <v/>
      </c>
      <c r="Z67" s="51" t="str">
        <f>IF(AND(OR(LEFT(TH!L43,2)="15",LEFT(TH!M43,2)="15"),TK!$E$7=TH!F43),"x","")</f>
        <v/>
      </c>
      <c r="AA67" s="51" t="str">
        <f>IF(AND(B67&lt;=NKC!$N$8,B67&gt;=NKC!$M$8),"x","")</f>
        <v>x</v>
      </c>
      <c r="AB67" s="923">
        <v>3</v>
      </c>
    </row>
    <row r="68" spans="1:33" s="589" customFormat="1" ht="15.75" hidden="1" customHeight="1">
      <c r="A68" s="203" t="str">
        <f>IF(B68&lt;&gt;"",IF(AND(B68&gt;=_TM1,B68&lt;=_TM2,OR(TH!L40="1111",TH!M40="1111")),TH!D40,""),"")</f>
        <v/>
      </c>
      <c r="B68" s="36">
        <f t="shared" si="8"/>
        <v>9</v>
      </c>
      <c r="C68" s="183">
        <f t="shared" si="5"/>
        <v>42622</v>
      </c>
      <c r="D68" s="183" t="s">
        <v>555</v>
      </c>
      <c r="E68" s="183">
        <v>42622</v>
      </c>
      <c r="F68" s="188" t="s">
        <v>375</v>
      </c>
      <c r="G68" s="479" t="s">
        <v>512</v>
      </c>
      <c r="H68" s="192" t="s">
        <v>513</v>
      </c>
      <c r="I68" s="255"/>
      <c r="J68" s="255"/>
      <c r="K68" s="597">
        <v>1760000</v>
      </c>
      <c r="L68" s="598" t="s">
        <v>165</v>
      </c>
      <c r="M68" s="598" t="s">
        <v>47</v>
      </c>
      <c r="N68" s="51" t="str">
        <f>IF(AND('331-CT'!$E$7=TH!H40,OR(L68="331",M68="331")),"331",IF(AND(OR(L68="131",M68="131"),H68='131-CT'!$E$7),"131",""))</f>
        <v/>
      </c>
      <c r="O68" s="891" t="str">
        <f>IF(AND('341-CT'!$E$9=H68,OR(LEFT(L68,3)=$O$7,LEFT(M68,3)=$O$7)),"x","")</f>
        <v/>
      </c>
      <c r="P68" s="51" t="str">
        <f>IF(AND($B68&gt;='111'!$N$11,$B68&lt;='111'!$O$11,OR($L68=$P$7,$M68=$P$7)),"x","")</f>
        <v>x</v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/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IF(OR(TH!L40=TH!$W$7,M68=TH!$W$7),"x","")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IF(AND(OR(LEFT(TH!L40,2)="15",LEFT(TH!M40,2)="15"),'152-CT'!$J$8=TH!F40),"x","")</f>
        <v/>
      </c>
      <c r="Z68" s="51" t="str">
        <f>IF(AND(OR(LEFT(TH!L40,2)="15",LEFT(TH!M40,2)="15"),TK!$E$7=TH!F40),"x","")</f>
        <v/>
      </c>
      <c r="AA68" s="51" t="str">
        <f>IF(AND(B68&lt;=NKC!$N$8,B68&gt;=NKC!$M$8),"x","")</f>
        <v>x</v>
      </c>
      <c r="AB68" s="923">
        <v>3</v>
      </c>
    </row>
    <row r="69" spans="1:33" s="589" customFormat="1" ht="15.75" hidden="1" customHeight="1">
      <c r="A69" s="203" t="str">
        <f>IF(B69&lt;&gt;"",IF(AND(B69&gt;=_TM1,B69&lt;=_TM2,OR(TH!L41="1111",TH!M41="1111")),TH!D41,""),"")</f>
        <v/>
      </c>
      <c r="B69" s="36">
        <f t="shared" si="8"/>
        <v>9</v>
      </c>
      <c r="C69" s="183">
        <f t="shared" si="5"/>
        <v>42622</v>
      </c>
      <c r="D69" s="183" t="s">
        <v>555</v>
      </c>
      <c r="E69" s="183">
        <v>42622</v>
      </c>
      <c r="F69" s="188" t="s">
        <v>511</v>
      </c>
      <c r="G69" s="479" t="s">
        <v>512</v>
      </c>
      <c r="H69" s="192" t="s">
        <v>513</v>
      </c>
      <c r="I69" s="255"/>
      <c r="J69" s="255"/>
      <c r="K69" s="597">
        <v>176000</v>
      </c>
      <c r="L69" s="598" t="s">
        <v>9</v>
      </c>
      <c r="M69" s="598" t="s">
        <v>47</v>
      </c>
      <c r="N69" s="51" t="str">
        <f>IF(AND('331-CT'!$E$7=TH!H41,OR(L69="331",M69="331")),"331",IF(AND(OR(L69="131",M69="131"),H69='131-CT'!$E$7),"131",""))</f>
        <v/>
      </c>
      <c r="O69" s="891" t="str">
        <f>IF(AND('341-CT'!$E$9=H69,OR(LEFT(L69,3)=$O$7,LEFT(M69,3)=$O$7)),"x","")</f>
        <v/>
      </c>
      <c r="P69" s="51" t="str">
        <f>IF(AND($B69&gt;='111'!$N$11,$B69&lt;='111'!$O$11,OR($L69=$P$7,$M69=$P$7)),"x","")</f>
        <v>x</v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IF(OR(TH!L41=TH!$W$7,M69=TH!$W$7),"x","")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IF(AND(OR(LEFT(TH!L41,2)="15",LEFT(TH!M41,2)="15"),'152-CT'!$J$8=TH!F41),"x","")</f>
        <v/>
      </c>
      <c r="Z69" s="51" t="str">
        <f>IF(AND(OR(LEFT(TH!L41,2)="15",LEFT(TH!M41,2)="15"),TK!$E$7=TH!F41),"x","")</f>
        <v/>
      </c>
      <c r="AA69" s="51" t="str">
        <f>IF(AND(B69&lt;=NKC!$N$8,B69&gt;=NKC!$M$8),"x","")</f>
        <v>x</v>
      </c>
      <c r="AB69" s="923">
        <v>3</v>
      </c>
    </row>
    <row r="70" spans="1:33" s="589" customFormat="1" ht="15.75" hidden="1" customHeight="1">
      <c r="A70" s="203" t="str">
        <f>IF(B70&lt;&gt;"",IF(AND(B70&gt;=_TM1,B70&lt;=_TM2,OR(TH!L66="1111",TH!M66="1111")),TH!D66,""),"")</f>
        <v/>
      </c>
      <c r="B70" s="36">
        <f t="shared" ref="B70:B71" si="9">IF(C70&lt;&gt;"",MONTH(C70),"")</f>
        <v>9</v>
      </c>
      <c r="C70" s="183">
        <f t="shared" ref="C70:C71" si="10">E70</f>
        <v>42643</v>
      </c>
      <c r="D70" s="190" t="s">
        <v>546</v>
      </c>
      <c r="E70" s="183">
        <v>42643</v>
      </c>
      <c r="F70" s="188" t="s">
        <v>780</v>
      </c>
      <c r="G70" s="479"/>
      <c r="H70" s="192"/>
      <c r="I70" s="255"/>
      <c r="J70" s="255"/>
      <c r="K70" s="597">
        <f>(8*15000+5*20000+6*10000+4*30000+1*40000)/1.1</f>
        <v>399999.99999999994</v>
      </c>
      <c r="L70" s="598" t="s">
        <v>261</v>
      </c>
      <c r="M70" s="598" t="s">
        <v>47</v>
      </c>
      <c r="N70" s="51" t="str">
        <f>IF(AND('331-CT'!$E$7=TH!H66,OR(L70="331",M70="331")),"331",IF(AND(OR(L70="131",M70="131"),H70='131-CT'!$E$7),"131",""))</f>
        <v/>
      </c>
      <c r="O70" s="891" t="str">
        <f>IF(AND('341-CT'!$E$9=H70,OR(LEFT(L70,3)=$O$7,LEFT(M70,3)=$O$7)),"x","")</f>
        <v/>
      </c>
      <c r="P70" s="51" t="str">
        <f>IF(AND($B70&gt;='111'!$N$11,$B70&lt;='111'!$O$11,OR($L70=$P$7,$M70=$P$7)),"x","")</f>
        <v>x</v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>641</v>
      </c>
      <c r="W70" s="51" t="str">
        <f>IF(OR(TH!L66=TH!$W$7,M70=TH!$W$7),"x","")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IF(AND(OR(LEFT(TH!L66,2)="15",LEFT(TH!M66,2)="15"),'152-CT'!$J$8=TH!F66),"x","")</f>
        <v/>
      </c>
      <c r="Z70" s="51" t="str">
        <f>IF(AND(OR(LEFT(TH!L66,2)="15",LEFT(TH!M66,2)="15"),TK!$E$7=TH!F66),"x","")</f>
        <v/>
      </c>
      <c r="AA70" s="51" t="str">
        <f>IF(AND(B70&lt;=NKC!$N$8,B70&gt;=NKC!$M$8),"x","")</f>
        <v>x</v>
      </c>
      <c r="AB70" s="923">
        <v>3</v>
      </c>
      <c r="AF70" s="210"/>
      <c r="AG70" s="210"/>
    </row>
    <row r="71" spans="1:33" s="589" customFormat="1" ht="15.75" hidden="1" customHeight="1">
      <c r="A71" s="203" t="str">
        <f>IF(B71&lt;&gt;"",IF(AND(B71&gt;=_TM1,B71&lt;=_TM2,OR(TH!L67="1111",TH!M67="1111")),TH!D67,""),"")</f>
        <v/>
      </c>
      <c r="B71" s="36">
        <f t="shared" si="9"/>
        <v>9</v>
      </c>
      <c r="C71" s="183">
        <f t="shared" si="10"/>
        <v>42643</v>
      </c>
      <c r="D71" s="190" t="s">
        <v>546</v>
      </c>
      <c r="E71" s="183">
        <v>42643</v>
      </c>
      <c r="F71" s="188" t="s">
        <v>781</v>
      </c>
      <c r="G71" s="479"/>
      <c r="H71" s="192"/>
      <c r="I71" s="255"/>
      <c r="J71" s="255"/>
      <c r="K71" s="597">
        <v>40000</v>
      </c>
      <c r="L71" s="598" t="s">
        <v>9</v>
      </c>
      <c r="M71" s="598" t="s">
        <v>47</v>
      </c>
      <c r="N71" s="51" t="str">
        <f>IF(AND('331-CT'!$E$7=TH!H67,OR(L71="331",M71="331")),"331",IF(AND(OR(L71="131",M71="131"),H71='131-CT'!$E$7),"131",""))</f>
        <v/>
      </c>
      <c r="O71" s="891" t="str">
        <f>IF(AND('341-CT'!$E$9=H71,OR(LEFT(L71,3)=$O$7,LEFT(M71,3)=$O$7)),"x","")</f>
        <v/>
      </c>
      <c r="P71" s="51" t="str">
        <f>IF(AND($B71&gt;='111'!$N$11,$B71&lt;='111'!$O$11,OR($L71=$P$7,$M71=$P$7)),"x","")</f>
        <v>x</v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IF(OR(TH!L67=TH!$W$7,M71=TH!$W$7),"x","")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IF(AND(OR(LEFT(TH!L67,2)="15",LEFT(TH!M67,2)="15"),'152-CT'!$J$8=TH!F67),"x","")</f>
        <v/>
      </c>
      <c r="Z71" s="51" t="str">
        <f>IF(AND(OR(LEFT(TH!L67,2)="15",LEFT(TH!M67,2)="15"),TK!$E$7=TH!F67),"x","")</f>
        <v/>
      </c>
      <c r="AA71" s="51" t="str">
        <f>IF(AND(B71&lt;=NKC!$N$8,B71&gt;=NKC!$M$8),"x","")</f>
        <v>x</v>
      </c>
      <c r="AB71" s="923">
        <v>3</v>
      </c>
      <c r="AF71" s="210"/>
      <c r="AG71" s="210"/>
    </row>
    <row r="72" spans="1:33" s="589" customFormat="1" ht="15.75" hidden="1" customHeight="1">
      <c r="A72" s="203" t="str">
        <f>IF(B72&lt;&gt;"",IF(AND(B72&gt;=_TM1,B72&lt;=_TM2,OR(TH!L46="1111",TH!M46="1111")),TH!D46,""),"")</f>
        <v/>
      </c>
      <c r="B72" s="36">
        <f t="shared" si="8"/>
        <v>9</v>
      </c>
      <c r="C72" s="183">
        <v>42643</v>
      </c>
      <c r="D72" s="190" t="s">
        <v>333</v>
      </c>
      <c r="E72" s="183">
        <v>42576</v>
      </c>
      <c r="F72" s="188" t="s">
        <v>518</v>
      </c>
      <c r="G72" s="479" t="s">
        <v>517</v>
      </c>
      <c r="H72" s="192" t="s">
        <v>777</v>
      </c>
      <c r="I72" s="255"/>
      <c r="J72" s="255"/>
      <c r="K72" s="597">
        <v>17110500</v>
      </c>
      <c r="L72" s="598" t="s">
        <v>83</v>
      </c>
      <c r="M72" s="598" t="s">
        <v>8</v>
      </c>
      <c r="N72" s="51" t="str">
        <f>IF(AND('331-CT'!$E$7=TH!H46,OR(L72="331",M72="331")),"331",IF(AND(OR(L72="131",M72="131"),H72='131-CT'!$E$7),"131",""))</f>
        <v/>
      </c>
      <c r="O72" s="891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IF(OR(TH!L46=TH!$W$7,M72=TH!$W$7),"x","")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IF(AND(OR(LEFT(TH!L46,2)="15",LEFT(TH!M46,2)="15"),'152-CT'!$J$8=TH!F46),"x","")</f>
        <v/>
      </c>
      <c r="Z72" s="51" t="str">
        <f>IF(AND(OR(LEFT(TH!L46,2)="15",LEFT(TH!M46,2)="15"),TK!$E$7=TH!F46),"x","")</f>
        <v/>
      </c>
      <c r="AA72" s="51" t="str">
        <f>IF(AND(B72&lt;=NKC!$N$8,B72&gt;=NKC!$M$8),"x","")</f>
        <v>x</v>
      </c>
      <c r="AB72" s="923">
        <v>3</v>
      </c>
    </row>
    <row r="73" spans="1:33" s="589" customFormat="1" ht="15.75" hidden="1" customHeight="1">
      <c r="A73" s="203" t="str">
        <f>IF(B73&lt;&gt;"",IF(AND(B73&gt;=_TM1,B73&lt;=_TM2,OR(TH!L47="1111",TH!M47="1111")),TH!D47,""),"")</f>
        <v/>
      </c>
      <c r="B73" s="36">
        <f t="shared" si="8"/>
        <v>9</v>
      </c>
      <c r="C73" s="183">
        <v>42643</v>
      </c>
      <c r="D73" s="190" t="s">
        <v>333</v>
      </c>
      <c r="E73" s="183">
        <v>42576</v>
      </c>
      <c r="F73" s="188" t="s">
        <v>519</v>
      </c>
      <c r="G73" s="479" t="s">
        <v>517</v>
      </c>
      <c r="H73" s="192" t="s">
        <v>777</v>
      </c>
      <c r="I73" s="255"/>
      <c r="J73" s="255"/>
      <c r="K73" s="597">
        <v>1711050</v>
      </c>
      <c r="L73" s="598" t="s">
        <v>9</v>
      </c>
      <c r="M73" s="598" t="s">
        <v>8</v>
      </c>
      <c r="N73" s="51" t="str">
        <f>IF(AND('331-CT'!$E$7=TH!H47,OR(L73="331",M73="331")),"331",IF(AND(OR(L73="131",M73="131"),H73='131-CT'!$E$7),"131",""))</f>
        <v/>
      </c>
      <c r="O73" s="891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IF(OR(TH!L47=TH!$W$7,M73=TH!$W$7),"x","")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IF(AND(OR(LEFT(TH!L47,2)="15",LEFT(TH!M47,2)="15"),'152-CT'!$J$8=TH!F47),"x","")</f>
        <v/>
      </c>
      <c r="Z73" s="51" t="str">
        <f>IF(AND(OR(LEFT(TH!L47,2)="15",LEFT(TH!M47,2)="15"),TK!$E$7=TH!F47),"x","")</f>
        <v/>
      </c>
      <c r="AA73" s="51" t="str">
        <f>IF(AND(B73&lt;=NKC!$N$8,B73&gt;=NKC!$M$8),"x","")</f>
        <v>x</v>
      </c>
      <c r="AB73" s="923">
        <v>3</v>
      </c>
    </row>
    <row r="74" spans="1:33" s="589" customFormat="1" ht="15.75" hidden="1" customHeight="1">
      <c r="A74" s="203" t="str">
        <f>IF(B74&lt;&gt;"",IF(AND(B74&gt;=_TM1,B74&lt;=_TM2,OR(TH!L48="1111",TH!M48="1111")),TH!D48,""),"")</f>
        <v/>
      </c>
      <c r="B74" s="36">
        <f t="shared" si="8"/>
        <v>9</v>
      </c>
      <c r="C74" s="183">
        <v>42643</v>
      </c>
      <c r="D74" s="190" t="s">
        <v>333</v>
      </c>
      <c r="E74" s="183">
        <v>42576</v>
      </c>
      <c r="F74" s="188" t="s">
        <v>521</v>
      </c>
      <c r="G74" s="479" t="s">
        <v>520</v>
      </c>
      <c r="H74" s="192" t="s">
        <v>777</v>
      </c>
      <c r="I74" s="255"/>
      <c r="J74" s="255"/>
      <c r="K74" s="597">
        <v>37000000</v>
      </c>
      <c r="L74" s="598" t="s">
        <v>83</v>
      </c>
      <c r="M74" s="598" t="s">
        <v>8</v>
      </c>
      <c r="N74" s="51" t="str">
        <f>IF(AND('331-CT'!$E$7=TH!H48,OR(L74="331",M74="331")),"331",IF(AND(OR(L74="131",M74="131"),H74='131-CT'!$E$7),"131",""))</f>
        <v/>
      </c>
      <c r="O74" s="891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IF(OR(TH!L48=TH!$W$7,M74=TH!$W$7),"x","")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IF(AND(OR(LEFT(TH!L48,2)="15",LEFT(TH!M48,2)="15"),'152-CT'!$J$8=TH!F48),"x","")</f>
        <v/>
      </c>
      <c r="Z74" s="51" t="str">
        <f>IF(AND(OR(LEFT(TH!L48,2)="15",LEFT(TH!M48,2)="15"),TK!$E$7=TH!F48),"x","")</f>
        <v/>
      </c>
      <c r="AA74" s="51" t="str">
        <f>IF(AND(B74&lt;=NKC!$N$8,B74&gt;=NKC!$M$8),"x","")</f>
        <v>x</v>
      </c>
      <c r="AB74" s="923">
        <v>3</v>
      </c>
    </row>
    <row r="75" spans="1:33" s="589" customFormat="1" ht="15.75" hidden="1" customHeight="1">
      <c r="A75" s="203" t="str">
        <f>IF(B75&lt;&gt;"",IF(AND(B75&gt;=_TM1,B75&lt;=_TM2,OR(TH!L49="1111",TH!M49="1111")),TH!D49,""),"")</f>
        <v/>
      </c>
      <c r="B75" s="36">
        <f t="shared" si="8"/>
        <v>9</v>
      </c>
      <c r="C75" s="183">
        <v>42643</v>
      </c>
      <c r="D75" s="190" t="s">
        <v>333</v>
      </c>
      <c r="E75" s="183">
        <v>42576</v>
      </c>
      <c r="F75" s="188" t="s">
        <v>522</v>
      </c>
      <c r="G75" s="479" t="s">
        <v>520</v>
      </c>
      <c r="H75" s="192" t="s">
        <v>777</v>
      </c>
      <c r="I75" s="255"/>
      <c r="J75" s="255"/>
      <c r="K75" s="597">
        <v>3700000</v>
      </c>
      <c r="L75" s="598" t="s">
        <v>9</v>
      </c>
      <c r="M75" s="598" t="s">
        <v>8</v>
      </c>
      <c r="N75" s="51" t="str">
        <f>IF(AND('331-CT'!$E$7=TH!H49,OR(L75="331",M75="331")),"331",IF(AND(OR(L75="131",M75="131"),H75='131-CT'!$E$7),"131",""))</f>
        <v/>
      </c>
      <c r="O75" s="891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IF(OR(TH!L49=TH!$W$7,M75=TH!$W$7),"x","")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IF(AND(OR(LEFT(TH!L49,2)="15",LEFT(TH!M49,2)="15"),'152-CT'!$J$8=TH!F49),"x","")</f>
        <v/>
      </c>
      <c r="Z75" s="51" t="str">
        <f>IF(AND(OR(LEFT(TH!L49,2)="15",LEFT(TH!M49,2)="15"),TK!$E$7=TH!F49),"x","")</f>
        <v/>
      </c>
      <c r="AA75" s="51" t="str">
        <f>IF(AND(B75&lt;=NKC!$N$8,B75&gt;=NKC!$M$8),"x","")</f>
        <v>x</v>
      </c>
      <c r="AB75" s="923">
        <v>3</v>
      </c>
    </row>
    <row r="76" spans="1:33" s="589" customFormat="1" ht="15.75" hidden="1" customHeight="1">
      <c r="A76" s="203" t="str">
        <f>IF(B76&lt;&gt;"",IF(AND(B76&gt;=_TM1,B76&lt;=_TM2,OR(TH!L52="1111",TH!M52="1111")),TH!D52,""),"")</f>
        <v/>
      </c>
      <c r="B76" s="36">
        <f t="shared" si="8"/>
        <v>9</v>
      </c>
      <c r="C76" s="183">
        <v>42643</v>
      </c>
      <c r="D76" s="190" t="s">
        <v>333</v>
      </c>
      <c r="E76" s="183">
        <v>42602</v>
      </c>
      <c r="F76" s="188" t="s">
        <v>521</v>
      </c>
      <c r="G76" s="481" t="s">
        <v>523</v>
      </c>
      <c r="H76" s="192" t="s">
        <v>777</v>
      </c>
      <c r="I76" s="255"/>
      <c r="J76" s="255"/>
      <c r="K76" s="597">
        <v>37000000</v>
      </c>
      <c r="L76" s="598" t="s">
        <v>83</v>
      </c>
      <c r="M76" s="598" t="s">
        <v>8</v>
      </c>
      <c r="N76" s="51" t="str">
        <f>IF(AND('331-CT'!$E$7=TH!H52,OR(L76="331",M76="331")),"331",IF(AND(OR(L76="131",M76="131"),H76='131-CT'!$E$7),"131",""))</f>
        <v/>
      </c>
      <c r="O76" s="891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IF(OR(TH!L52=TH!$W$7,M76=TH!$W$7),"x","")</f>
        <v>x</v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IF(AND(OR(LEFT(TH!L52,2)="15",LEFT(TH!M52,2)="15"),'152-CT'!$J$8=TH!F52),"x","")</f>
        <v/>
      </c>
      <c r="Z76" s="51" t="str">
        <f>IF(AND(OR(LEFT(TH!L52,2)="15",LEFT(TH!M52,2)="15"),TK!$E$7=TH!F52),"x","")</f>
        <v/>
      </c>
      <c r="AA76" s="51" t="str">
        <f>IF(AND(B76&lt;=NKC!$N$8,B76&gt;=NKC!$M$8),"x","")</f>
        <v>x</v>
      </c>
      <c r="AB76" s="923">
        <v>3</v>
      </c>
      <c r="AD76" s="210"/>
    </row>
    <row r="77" spans="1:33" s="589" customFormat="1" ht="15.75" hidden="1" customHeight="1">
      <c r="A77" s="203" t="str">
        <f>IF(B77&lt;&gt;"",IF(AND(B77&gt;=_TM1,B77&lt;=_TM2,OR(TH!L53="1111",TH!M53="1111")),TH!D53,""),"")</f>
        <v/>
      </c>
      <c r="B77" s="36">
        <f t="shared" si="8"/>
        <v>9</v>
      </c>
      <c r="C77" s="183">
        <v>42643</v>
      </c>
      <c r="D77" s="190" t="s">
        <v>333</v>
      </c>
      <c r="E77" s="183">
        <v>42602</v>
      </c>
      <c r="F77" s="188" t="s">
        <v>522</v>
      </c>
      <c r="G77" s="481" t="s">
        <v>523</v>
      </c>
      <c r="H77" s="192" t="s">
        <v>777</v>
      </c>
      <c r="I77" s="255"/>
      <c r="J77" s="255"/>
      <c r="K77" s="597">
        <v>3700000</v>
      </c>
      <c r="L77" s="598" t="s">
        <v>9</v>
      </c>
      <c r="M77" s="598" t="s">
        <v>8</v>
      </c>
      <c r="N77" s="51" t="str">
        <f>IF(AND('331-CT'!$E$7=TH!H53,OR(L77="331",M77="331")),"331",IF(AND(OR(L77="131",M77="131"),H77='131-CT'!$E$7),"131",""))</f>
        <v/>
      </c>
      <c r="O77" s="891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IF(OR(TH!L53=TH!$W$7,M77=TH!$W$7),"x","")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IF(AND(OR(LEFT(TH!L53,2)="15",LEFT(TH!M53,2)="15"),'152-CT'!$J$8=TH!F53),"x","")</f>
        <v/>
      </c>
      <c r="Z77" s="51" t="str">
        <f>IF(AND(OR(LEFT(TH!L53,2)="15",LEFT(TH!M53,2)="15"),TK!$E$7=TH!F53),"x","")</f>
        <v/>
      </c>
      <c r="AA77" s="51" t="str">
        <f>IF(AND(B77&lt;=NKC!$N$8,B77&gt;=NKC!$M$8),"x","")</f>
        <v>x</v>
      </c>
      <c r="AB77" s="923">
        <v>3</v>
      </c>
    </row>
    <row r="78" spans="1:33" s="589" customFormat="1" ht="15.75" hidden="1" customHeight="1">
      <c r="A78" s="203" t="str">
        <f>IF(B78&lt;&gt;"",IF(AND(B78&gt;=_TM1,B78&lt;=_TM2,OR(TH!L78="1111",TH!M78="1111")),TH!D78,""),"")</f>
        <v/>
      </c>
      <c r="B78" s="36">
        <f t="shared" ref="B78:B113" si="11">IF(C78&lt;&gt;"",MONTH(C78),"")</f>
        <v>5</v>
      </c>
      <c r="C78" s="183">
        <f t="shared" ref="C78:C95" si="12">E78</f>
        <v>42516</v>
      </c>
      <c r="D78" s="183" t="s">
        <v>556</v>
      </c>
      <c r="E78" s="183">
        <v>42516</v>
      </c>
      <c r="F78" s="188" t="s">
        <v>558</v>
      </c>
      <c r="G78" s="479" t="s">
        <v>561</v>
      </c>
      <c r="H78" s="7" t="s">
        <v>562</v>
      </c>
      <c r="I78" s="255"/>
      <c r="J78" s="255"/>
      <c r="K78" s="37">
        <v>2200000</v>
      </c>
      <c r="L78" s="193" t="s">
        <v>24</v>
      </c>
      <c r="M78" s="193" t="s">
        <v>47</v>
      </c>
      <c r="N78" s="51" t="str">
        <f>IF(AND('331-CT'!$E$7=TH!H78,OR(L78="331",M78="331")),"331",IF(AND(OR(L78="131",M78="131"),H78='131-CT'!$E$7),"131",""))</f>
        <v/>
      </c>
      <c r="O78" s="891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>x</v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>x</v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/>
      </c>
      <c r="AB78" s="923"/>
    </row>
    <row r="79" spans="1:33" s="589" customFormat="1" ht="15.75" hidden="1" customHeight="1">
      <c r="A79" s="203" t="str">
        <f>IF(B79&lt;&gt;"",IF(AND(B79&gt;=_TM1,B79&lt;=_TM2,OR(TH!L79="1111",TH!M79="1111")),TH!D79,""),"")</f>
        <v/>
      </c>
      <c r="B79" s="36">
        <f t="shared" si="11"/>
        <v>5</v>
      </c>
      <c r="C79" s="183">
        <f t="shared" si="12"/>
        <v>42516</v>
      </c>
      <c r="D79" s="183" t="s">
        <v>557</v>
      </c>
      <c r="E79" s="183">
        <v>42516</v>
      </c>
      <c r="F79" s="188" t="s">
        <v>559</v>
      </c>
      <c r="G79" s="479" t="s">
        <v>561</v>
      </c>
      <c r="H79" s="7"/>
      <c r="I79" s="255"/>
      <c r="J79" s="255"/>
      <c r="K79" s="37">
        <v>20000</v>
      </c>
      <c r="L79" s="193" t="s">
        <v>83</v>
      </c>
      <c r="M79" s="193" t="s">
        <v>24</v>
      </c>
      <c r="N79" s="51" t="str">
        <f>IF(AND('331-CT'!$E$7=TH!H79,OR(L79="331",M79="331")),"331",IF(AND(OR(L79="131",M79="131"),H79='131-CT'!$E$7),"131",""))</f>
        <v/>
      </c>
      <c r="O79" s="891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>x</v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W79" s="51" t="str">
        <f>IF(OR(TH!L79=TH!$W$7,M79=TH!$W$7),"x","")</f>
        <v>x</v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/>
      </c>
      <c r="AB79" s="923">
        <v>3</v>
      </c>
    </row>
    <row r="80" spans="1:33" s="589" customFormat="1" ht="15.75" hidden="1" customHeight="1">
      <c r="A80" s="203" t="str">
        <f>IF(B80&lt;&gt;"",IF(AND(B80&gt;=_TM1,B80&lt;=_TM2,OR(TH!L80="1111",TH!M80="1111")),TH!D80,""),"")</f>
        <v/>
      </c>
      <c r="B80" s="36">
        <f t="shared" si="11"/>
        <v>5</v>
      </c>
      <c r="C80" s="183">
        <f t="shared" si="12"/>
        <v>42516</v>
      </c>
      <c r="D80" s="183" t="s">
        <v>557</v>
      </c>
      <c r="E80" s="183">
        <v>42516</v>
      </c>
      <c r="F80" s="188" t="s">
        <v>560</v>
      </c>
      <c r="G80" s="479" t="s">
        <v>561</v>
      </c>
      <c r="H80" s="7"/>
      <c r="I80" s="255"/>
      <c r="J80" s="255"/>
      <c r="K80" s="37">
        <v>2000</v>
      </c>
      <c r="L80" s="193" t="s">
        <v>9</v>
      </c>
      <c r="M80" s="193" t="s">
        <v>24</v>
      </c>
      <c r="N80" s="51" t="str">
        <f>IF(AND('331-CT'!$E$7=TH!H80,OR(L80="331",M80="331")),"331",IF(AND(OR(L80="131",M80="131"),H80='131-CT'!$E$7),"131",""))</f>
        <v/>
      </c>
      <c r="O80" s="891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/>
      </c>
      <c r="U80" s="51" t="str">
        <f>IF(ISERROR(FIND('112'!$M$9,G80,1)),"",IF((AND(RIGHT(G80,2)=RIGHT('112'!$M$9,2),B80&lt;'112'!$N$8,$M80='112'!$I$6)),"x",""))</f>
        <v>x</v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/>
      </c>
      <c r="AB80" s="923">
        <v>3</v>
      </c>
    </row>
    <row r="81" spans="1:31" s="589" customFormat="1" ht="15.75" hidden="1" customHeight="1">
      <c r="A81" s="203" t="str">
        <f>IF(B81&lt;&gt;"",IF(AND(B81&gt;=_TM1,B81&lt;=_TM2,OR(TH!L81="1111",TH!M81="1111")),TH!D81,""),"")</f>
        <v/>
      </c>
      <c r="B81" s="36">
        <f t="shared" si="11"/>
        <v>6</v>
      </c>
      <c r="C81" s="183">
        <f t="shared" si="12"/>
        <v>42546</v>
      </c>
      <c r="D81" s="183" t="s">
        <v>556</v>
      </c>
      <c r="E81" s="183">
        <v>42546</v>
      </c>
      <c r="F81" s="188" t="s">
        <v>563</v>
      </c>
      <c r="G81" s="479" t="s">
        <v>561</v>
      </c>
      <c r="H81" s="7"/>
      <c r="I81" s="255"/>
      <c r="J81" s="255"/>
      <c r="K81" s="597">
        <v>1500</v>
      </c>
      <c r="L81" s="193" t="s">
        <v>24</v>
      </c>
      <c r="M81" s="193" t="s">
        <v>40</v>
      </c>
      <c r="N81" s="51" t="str">
        <f>IF(AND('331-CT'!$E$7=TH!H81,OR(L81="331",M81="331")),"331",IF(AND(OR(L81="131",M81="131"),H81='131-CT'!$E$7),"131",""))</f>
        <v/>
      </c>
      <c r="O81" s="891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>x</v>
      </c>
      <c r="U81" s="51" t="str">
        <f>IF(ISERROR(FIND('112'!$M$9,G81,1)),"",IF((AND(RIGHT(G81,2)=RIGHT('112'!$M$9,2),B81&lt;'112'!$N$8,$M81='112'!$I$6)),"x",""))</f>
        <v/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/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/>
      </c>
      <c r="AB81" s="923"/>
    </row>
    <row r="82" spans="1:31" s="589" customFormat="1" ht="15.75" hidden="1" customHeight="1">
      <c r="A82" s="203" t="str">
        <f>IF(B82&lt;&gt;"",IF(AND(B82&gt;=_TM1,B82&lt;=_TM2,OR(TH!L82="1111",TH!M82="1111")),TH!D82,""),"")</f>
        <v/>
      </c>
      <c r="B82" s="36">
        <f t="shared" si="11"/>
        <v>6</v>
      </c>
      <c r="C82" s="183">
        <f t="shared" si="12"/>
        <v>42546</v>
      </c>
      <c r="D82" s="183" t="s">
        <v>557</v>
      </c>
      <c r="E82" s="183">
        <v>42546</v>
      </c>
      <c r="F82" s="188" t="s">
        <v>564</v>
      </c>
      <c r="G82" s="479" t="s">
        <v>561</v>
      </c>
      <c r="H82" s="7"/>
      <c r="I82" s="255"/>
      <c r="J82" s="255"/>
      <c r="K82" s="37">
        <v>10000</v>
      </c>
      <c r="L82" s="193" t="s">
        <v>83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91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>642</v>
      </c>
      <c r="W82" s="51" t="str">
        <f>IF(OR(TH!L82=TH!$W$7,M82=TH!$W$7),"x","")</f>
        <v>x</v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/>
      </c>
      <c r="AB82" s="923">
        <v>3</v>
      </c>
    </row>
    <row r="83" spans="1:31" s="589" customFormat="1" ht="15.75" hidden="1" customHeight="1">
      <c r="A83" s="203" t="str">
        <f>IF(B83&lt;&gt;"",IF(AND(B83&gt;=_TM1,B83&lt;=_TM2,OR(TH!L83="1111",TH!M83="1111")),TH!D83,""),"")</f>
        <v/>
      </c>
      <c r="B83" s="36">
        <f t="shared" si="11"/>
        <v>6</v>
      </c>
      <c r="C83" s="183">
        <f t="shared" si="12"/>
        <v>42546</v>
      </c>
      <c r="D83" s="183" t="s">
        <v>557</v>
      </c>
      <c r="E83" s="183">
        <v>42546</v>
      </c>
      <c r="F83" s="188" t="s">
        <v>565</v>
      </c>
      <c r="G83" s="479" t="s">
        <v>561</v>
      </c>
      <c r="H83" s="7"/>
      <c r="I83" s="255"/>
      <c r="J83" s="255"/>
      <c r="K83" s="37">
        <v>1000</v>
      </c>
      <c r="L83" s="193" t="s">
        <v>9</v>
      </c>
      <c r="M83" s="193" t="s">
        <v>24</v>
      </c>
      <c r="N83" s="51" t="str">
        <f>IF(AND('331-CT'!$E$7=TH!H83,OR(L83="331",M83="331")),"331",IF(AND(OR(L83="131",M83="131"),H83='131-CT'!$E$7),"131",""))</f>
        <v/>
      </c>
      <c r="O83" s="891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/>
      </c>
      <c r="U83" s="51" t="str">
        <f>IF(ISERROR(FIND('112'!$M$9,G83,1)),"",IF((AND(RIGHT(G83,2)=RIGHT('112'!$M$9,2),B83&lt;'112'!$N$8,$M83='112'!$I$6)),"x",""))</f>
        <v>x</v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/>
      </c>
      <c r="AB83" s="923">
        <v>3</v>
      </c>
    </row>
    <row r="84" spans="1:31" s="589" customFormat="1" ht="15.75" hidden="1" customHeight="1">
      <c r="A84" s="203" t="str">
        <f>IF(B84&lt;&gt;"",IF(AND(B84&gt;=_TM1,B84&lt;=_TM2,OR(TH!L84="1111",TH!M84="1111")),TH!D84,""),"")</f>
        <v/>
      </c>
      <c r="B84" s="36">
        <f t="shared" si="11"/>
        <v>7</v>
      </c>
      <c r="C84" s="183">
        <f t="shared" si="12"/>
        <v>42559</v>
      </c>
      <c r="D84" s="183" t="s">
        <v>556</v>
      </c>
      <c r="E84" s="183">
        <v>42559</v>
      </c>
      <c r="F84" s="188" t="s">
        <v>558</v>
      </c>
      <c r="G84" s="479" t="s">
        <v>561</v>
      </c>
      <c r="H84" s="7" t="s">
        <v>562</v>
      </c>
      <c r="I84" s="255"/>
      <c r="J84" s="255"/>
      <c r="K84" s="37">
        <v>40700000</v>
      </c>
      <c r="L84" s="193" t="s">
        <v>24</v>
      </c>
      <c r="M84" s="193" t="s">
        <v>47</v>
      </c>
      <c r="N84" s="51" t="str">
        <f>IF(AND('331-CT'!$E$7=TH!H84,OR(L84="331",M84="331")),"331",IF(AND(OR(L84="131",M84="131"),H84='131-CT'!$E$7),"131",""))</f>
        <v/>
      </c>
      <c r="O84" s="891" t="str">
        <f>IF(AND('341-CT'!$E$9=H84,OR(LEFT(L84,3)=$O$7,LEFT(M84,3)=$O$7)),"x","")</f>
        <v/>
      </c>
      <c r="P84" s="51" t="str">
        <f>IF(AND($B84&gt;='111'!$N$11,$B84&lt;='111'!$O$11,OR($L84=$P$7,$M84=$P$7)),"x","")</f>
        <v>x</v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>x</v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23"/>
      <c r="AD84" s="210"/>
      <c r="AE84" s="210"/>
    </row>
    <row r="85" spans="1:31" s="589" customFormat="1" ht="15.75" hidden="1" customHeight="1">
      <c r="A85" s="203" t="str">
        <f>IF(B85&lt;&gt;"",IF(AND(B85&gt;=_TM1,B85&lt;=_TM2,OR(TH!L85="1111",TH!M85="1111")),TH!D85,""),"")</f>
        <v/>
      </c>
      <c r="B85" s="36">
        <f t="shared" si="11"/>
        <v>7</v>
      </c>
      <c r="C85" s="183">
        <f t="shared" si="12"/>
        <v>42559</v>
      </c>
      <c r="D85" s="183" t="s">
        <v>557</v>
      </c>
      <c r="E85" s="183">
        <v>42559</v>
      </c>
      <c r="F85" s="188" t="s">
        <v>566</v>
      </c>
      <c r="G85" s="479" t="s">
        <v>561</v>
      </c>
      <c r="H85" s="192" t="s">
        <v>777</v>
      </c>
      <c r="I85" s="255"/>
      <c r="J85" s="255"/>
      <c r="K85" s="37">
        <v>40700000</v>
      </c>
      <c r="L85" s="193" t="s">
        <v>8</v>
      </c>
      <c r="M85" s="193" t="s">
        <v>24</v>
      </c>
      <c r="N85" s="51" t="str">
        <f>IF(AND('331-CT'!$E$7=TH!H85,OR(L85="331",M85="331")),"331",IF(AND(OR(L85="131",M85="131"),H85='131-CT'!$E$7),"131",""))</f>
        <v/>
      </c>
      <c r="O85" s="891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>x</v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23"/>
      <c r="AE85" s="210"/>
    </row>
    <row r="86" spans="1:31" s="589" customFormat="1" ht="15.75" hidden="1" customHeight="1">
      <c r="A86" s="203" t="str">
        <f>IF(B86&lt;&gt;"",IF(AND(B86&gt;=_TM1,B86&lt;=_TM2,OR(TH!L86="1111",TH!M86="1111")),TH!D86,""),"")</f>
        <v/>
      </c>
      <c r="B86" s="36">
        <f t="shared" si="11"/>
        <v>7</v>
      </c>
      <c r="C86" s="183">
        <f t="shared" si="12"/>
        <v>42559</v>
      </c>
      <c r="D86" s="183" t="s">
        <v>557</v>
      </c>
      <c r="E86" s="183">
        <v>42559</v>
      </c>
      <c r="F86" s="188" t="s">
        <v>567</v>
      </c>
      <c r="G86" s="479" t="s">
        <v>561</v>
      </c>
      <c r="H86" s="7"/>
      <c r="I86" s="255"/>
      <c r="J86" s="255"/>
      <c r="K86" s="597">
        <v>20000</v>
      </c>
      <c r="L86" s="193" t="s">
        <v>83</v>
      </c>
      <c r="M86" s="193" t="s">
        <v>24</v>
      </c>
      <c r="N86" s="51" t="str">
        <f>IF(AND('331-CT'!$E$7=TH!H86,OR(L86="331",M86="331")),"331",IF(AND(OR(L86="131",M86="131"),H86='131-CT'!$E$7),"131",""))</f>
        <v/>
      </c>
      <c r="O86" s="891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>x</v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>x</v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23">
        <v>3</v>
      </c>
    </row>
    <row r="87" spans="1:31" s="589" customFormat="1" ht="15.75" hidden="1" customHeight="1">
      <c r="A87" s="203" t="str">
        <f>IF(B87&lt;&gt;"",IF(AND(B87&gt;=_TM1,B87&lt;=_TM2,OR(TH!L87="1111",TH!M87="1111")),TH!D87,""),"")</f>
        <v/>
      </c>
      <c r="B87" s="36">
        <f t="shared" si="11"/>
        <v>7</v>
      </c>
      <c r="C87" s="183">
        <f t="shared" si="12"/>
        <v>42559</v>
      </c>
      <c r="D87" s="183" t="s">
        <v>557</v>
      </c>
      <c r="E87" s="183">
        <v>42559</v>
      </c>
      <c r="F87" s="188" t="s">
        <v>568</v>
      </c>
      <c r="G87" s="479" t="s">
        <v>561</v>
      </c>
      <c r="H87" s="7"/>
      <c r="I87" s="255"/>
      <c r="J87" s="255"/>
      <c r="K87" s="597">
        <v>2000</v>
      </c>
      <c r="L87" s="193" t="s">
        <v>9</v>
      </c>
      <c r="M87" s="193" t="s">
        <v>24</v>
      </c>
      <c r="N87" s="51" t="str">
        <f>IF(AND('331-CT'!$E$7=TH!H87,OR(L87="331",M87="331")),"331",IF(AND(OR(L87="131",M87="131"),H87='131-CT'!$E$7),"131",""))</f>
        <v/>
      </c>
      <c r="O87" s="891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>x</v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23">
        <v>3</v>
      </c>
    </row>
    <row r="88" spans="1:31" s="589" customFormat="1" ht="15.75" hidden="1" customHeight="1">
      <c r="A88" s="203" t="str">
        <f>IF(B88&lt;&gt;"",IF(AND(B88&gt;=_TM1,B88&lt;=_TM2,OR(TH!L88="1111",TH!M88="1111")),TH!D88,""),"")</f>
        <v/>
      </c>
      <c r="B88" s="36">
        <f t="shared" si="11"/>
        <v>7</v>
      </c>
      <c r="C88" s="183">
        <f t="shared" si="12"/>
        <v>42559</v>
      </c>
      <c r="D88" s="183" t="s">
        <v>557</v>
      </c>
      <c r="E88" s="183">
        <v>42559</v>
      </c>
      <c r="F88" s="188" t="s">
        <v>569</v>
      </c>
      <c r="G88" s="479" t="s">
        <v>561</v>
      </c>
      <c r="H88" s="7"/>
      <c r="I88" s="255"/>
      <c r="J88" s="255"/>
      <c r="K88" s="597">
        <v>20000</v>
      </c>
      <c r="L88" s="193" t="s">
        <v>83</v>
      </c>
      <c r="M88" s="193" t="s">
        <v>24</v>
      </c>
      <c r="N88" s="51" t="str">
        <f>IF(AND('331-CT'!$E$7=TH!H88,OR(L88="331",M88="331")),"331",IF(AND(OR(L88="131",M88="131"),H88='131-CT'!$E$7),"131",""))</f>
        <v/>
      </c>
      <c r="O88" s="891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>x</v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/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>x</v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23">
        <v>3</v>
      </c>
    </row>
    <row r="89" spans="1:31" s="589" customFormat="1" ht="15.75" hidden="1" customHeight="1">
      <c r="A89" s="203" t="str">
        <f>IF(B89&lt;&gt;"",IF(AND(B89&gt;=_TM1,B89&lt;=_TM2,OR(TH!L89="1111",TH!M89="1111")),TH!D89,""),"")</f>
        <v/>
      </c>
      <c r="B89" s="36">
        <f t="shared" si="11"/>
        <v>7</v>
      </c>
      <c r="C89" s="183">
        <f t="shared" si="12"/>
        <v>42559</v>
      </c>
      <c r="D89" s="183" t="s">
        <v>557</v>
      </c>
      <c r="E89" s="183">
        <v>42559</v>
      </c>
      <c r="F89" s="188" t="s">
        <v>570</v>
      </c>
      <c r="G89" s="479" t="s">
        <v>561</v>
      </c>
      <c r="H89" s="7"/>
      <c r="I89" s="255"/>
      <c r="J89" s="255"/>
      <c r="K89" s="597">
        <v>2000</v>
      </c>
      <c r="L89" s="193" t="s">
        <v>9</v>
      </c>
      <c r="M89" s="193" t="s">
        <v>24</v>
      </c>
      <c r="N89" s="51" t="str">
        <f>IF(AND('331-CT'!$E$7=TH!H89,OR(L89="331",M89="331")),"331",IF(AND(OR(L89="131",M89="131"),H89='131-CT'!$E$7),"131",""))</f>
        <v/>
      </c>
      <c r="O89" s="891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>x</v>
      </c>
      <c r="T89" s="51" t="str">
        <f>IF(ISERROR(FIND('112'!$M$9,G89,1)),"",IF((AND(LEFT(G89,2)=LEFT('112'!$M$9,2),B89&lt;'112'!$N$8,$L89='112'!$I$6)),"x",""))</f>
        <v/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23">
        <v>3</v>
      </c>
    </row>
    <row r="90" spans="1:31" s="589" customFormat="1" ht="15.75" hidden="1" customHeight="1">
      <c r="A90" s="203" t="str">
        <f>IF(B90&lt;&gt;"",IF(AND(B90&gt;=_TM1,B90&lt;=_TM2,OR(TH!L90="1111",TH!M90="1111")),TH!D90,""),"")</f>
        <v/>
      </c>
      <c r="B90" s="36">
        <f t="shared" ref="B90" si="13">IF(C90&lt;&gt;"",MONTH(C90),"")</f>
        <v>7</v>
      </c>
      <c r="C90" s="183">
        <f t="shared" ref="C90" si="14">E90</f>
        <v>42576</v>
      </c>
      <c r="D90" s="183" t="s">
        <v>557</v>
      </c>
      <c r="E90" s="183">
        <v>42576</v>
      </c>
      <c r="F90" s="188" t="s">
        <v>563</v>
      </c>
      <c r="G90" s="479" t="s">
        <v>561</v>
      </c>
      <c r="H90" s="7"/>
      <c r="I90" s="255"/>
      <c r="J90" s="255"/>
      <c r="K90" s="597">
        <v>1428</v>
      </c>
      <c r="L90" s="193" t="s">
        <v>24</v>
      </c>
      <c r="M90" s="193" t="s">
        <v>40</v>
      </c>
      <c r="N90" s="51" t="str">
        <f>IF(AND('331-CT'!$E$7=TH!H90,OR(L90="331",M90="331")),"331",IF(AND(OR(L90="131",M90="131"),H90='131-CT'!$E$7),"131",""))</f>
        <v/>
      </c>
      <c r="O90" s="891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>x</v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23">
        <v>3</v>
      </c>
    </row>
    <row r="91" spans="1:31" s="589" customFormat="1" ht="15.75" hidden="1" customHeight="1">
      <c r="A91" s="203" t="str">
        <f>IF(B91&lt;&gt;"",IF(AND(B91&gt;=_TM1,B91&lt;=_TM2,OR(TH!L91="1111",TH!M91="1111")),TH!D91,""),"")</f>
        <v/>
      </c>
      <c r="B91" s="36">
        <f t="shared" si="11"/>
        <v>7</v>
      </c>
      <c r="C91" s="183">
        <f t="shared" si="12"/>
        <v>42576</v>
      </c>
      <c r="D91" s="183" t="s">
        <v>557</v>
      </c>
      <c r="E91" s="183">
        <v>42576</v>
      </c>
      <c r="F91" s="188" t="s">
        <v>564</v>
      </c>
      <c r="G91" s="479" t="s">
        <v>561</v>
      </c>
      <c r="H91" s="7"/>
      <c r="I91" s="255"/>
      <c r="J91" s="255"/>
      <c r="K91" s="37">
        <v>10000</v>
      </c>
      <c r="L91" s="193" t="s">
        <v>83</v>
      </c>
      <c r="M91" s="193" t="s">
        <v>24</v>
      </c>
      <c r="N91" s="51" t="str">
        <f>IF(AND('331-CT'!$E$7=TH!H91,OR(L91="331",M91="331")),"331",IF(AND(OR(L91="131",M91="131"),H91='131-CT'!$E$7),"131",""))</f>
        <v/>
      </c>
      <c r="O91" s="891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>x</v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>x</v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23">
        <v>3</v>
      </c>
    </row>
    <row r="92" spans="1:31" s="589" customFormat="1" ht="15.75" hidden="1" customHeight="1">
      <c r="A92" s="203" t="str">
        <f>IF(B92&lt;&gt;"",IF(AND(B92&gt;=_TM1,B92&lt;=_TM2,OR(TH!L92="1111",TH!M92="1111")),TH!D92,""),"")</f>
        <v/>
      </c>
      <c r="B92" s="36">
        <f t="shared" si="11"/>
        <v>7</v>
      </c>
      <c r="C92" s="183">
        <f t="shared" si="12"/>
        <v>42576</v>
      </c>
      <c r="D92" s="183" t="s">
        <v>557</v>
      </c>
      <c r="E92" s="183">
        <v>42576</v>
      </c>
      <c r="F92" s="188" t="s">
        <v>565</v>
      </c>
      <c r="G92" s="479" t="s">
        <v>561</v>
      </c>
      <c r="H92" s="7"/>
      <c r="I92" s="255"/>
      <c r="J92" s="255"/>
      <c r="K92" s="37">
        <v>1000</v>
      </c>
      <c r="L92" s="193" t="s">
        <v>9</v>
      </c>
      <c r="M92" s="193" t="s">
        <v>24</v>
      </c>
      <c r="N92" s="51" t="str">
        <f>IF(AND('331-CT'!$E$7=TH!H92,OR(L92="331",M92="331")),"331",IF(AND(OR(L92="131",M92="131"),H92='131-CT'!$E$7),"131",""))</f>
        <v/>
      </c>
      <c r="O92" s="891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>x</v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23">
        <v>3</v>
      </c>
    </row>
    <row r="93" spans="1:31" s="589" customFormat="1" ht="15.75" hidden="1" customHeight="1">
      <c r="A93" s="203" t="str">
        <f>IF(B93&lt;&gt;"",IF(AND(B93&gt;=_TM1,B93&lt;=_TM2,OR(TH!L93="1111",TH!M93="1111")),TH!D93,""),"")</f>
        <v/>
      </c>
      <c r="B93" s="36">
        <f t="shared" si="11"/>
        <v>7</v>
      </c>
      <c r="C93" s="183">
        <f t="shared" si="12"/>
        <v>42579</v>
      </c>
      <c r="D93" s="183" t="s">
        <v>556</v>
      </c>
      <c r="E93" s="183">
        <v>42579</v>
      </c>
      <c r="F93" s="188" t="s">
        <v>571</v>
      </c>
      <c r="G93" s="479" t="s">
        <v>561</v>
      </c>
      <c r="H93" s="7" t="s">
        <v>424</v>
      </c>
      <c r="I93" s="255"/>
      <c r="J93" s="255"/>
      <c r="K93" s="597">
        <v>14300000</v>
      </c>
      <c r="L93" s="598" t="s">
        <v>24</v>
      </c>
      <c r="M93" s="598" t="s">
        <v>259</v>
      </c>
      <c r="N93" s="51" t="str">
        <f>IF(AND('331-CT'!$E$7=TH!H93,OR(L93="331",M93="331")),"331",IF(AND(OR(L93="131",M93="131"),H93='131-CT'!$E$7),"131",""))</f>
        <v/>
      </c>
      <c r="O93" s="891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>x</v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23"/>
    </row>
    <row r="94" spans="1:31" s="589" customFormat="1" ht="15.75" hidden="1" customHeight="1">
      <c r="A94" s="203" t="str">
        <f>IF(B94&lt;&gt;"",IF(AND(B94&gt;=_TM1,B94&lt;=_TM2,OR(TH!L94="1111",TH!M94="1111")),TH!D94,""),"")</f>
        <v/>
      </c>
      <c r="B94" s="36">
        <f t="shared" si="11"/>
        <v>7</v>
      </c>
      <c r="C94" s="183">
        <f t="shared" si="12"/>
        <v>42580</v>
      </c>
      <c r="D94" s="183" t="s">
        <v>557</v>
      </c>
      <c r="E94" s="183">
        <v>42580</v>
      </c>
      <c r="F94" s="188" t="s">
        <v>572</v>
      </c>
      <c r="G94" s="479" t="s">
        <v>561</v>
      </c>
      <c r="H94" s="7" t="s">
        <v>562</v>
      </c>
      <c r="I94" s="255"/>
      <c r="J94" s="255"/>
      <c r="K94" s="597">
        <v>15000000</v>
      </c>
      <c r="L94" s="598" t="s">
        <v>47</v>
      </c>
      <c r="M94" s="598" t="s">
        <v>24</v>
      </c>
      <c r="N94" s="51" t="str">
        <f>IF(AND('331-CT'!$E$7=TH!H94,OR(L94="331",M94="331")),"331",IF(AND(OR(L94="131",M94="131"),H94='131-CT'!$E$7),"131",""))</f>
        <v/>
      </c>
      <c r="O94" s="891" t="str">
        <f>IF(AND('341-CT'!$E$9=H94,OR(LEFT(L94,3)=$O$7,LEFT(M94,3)=$O$7)),"x","")</f>
        <v/>
      </c>
      <c r="P94" s="51" t="str">
        <f>IF(AND($B94&gt;='111'!$N$11,$B94&lt;='111'!$O$11,OR($L94=$P$7,$M94=$P$7)),"x","")</f>
        <v>x</v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>x</v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23"/>
    </row>
    <row r="95" spans="1:31" s="589" customFormat="1" ht="15.75" hidden="1" customHeight="1">
      <c r="A95" s="203" t="str">
        <f>IF(B95&lt;&gt;"",IF(AND(B95&gt;=_TM1,B95&lt;=_TM2,OR(TH!L95="1111",TH!M95="1111")),TH!D95,""),"")</f>
        <v/>
      </c>
      <c r="B95" s="36">
        <f t="shared" si="11"/>
        <v>7</v>
      </c>
      <c r="C95" s="183">
        <f t="shared" si="12"/>
        <v>42580</v>
      </c>
      <c r="D95" s="183" t="s">
        <v>556</v>
      </c>
      <c r="E95" s="183">
        <v>42580</v>
      </c>
      <c r="F95" s="188" t="s">
        <v>571</v>
      </c>
      <c r="G95" s="479" t="s">
        <v>561</v>
      </c>
      <c r="H95" s="7" t="s">
        <v>429</v>
      </c>
      <c r="I95" s="255"/>
      <c r="J95" s="255"/>
      <c r="K95" s="597">
        <v>25674000</v>
      </c>
      <c r="L95" s="598" t="s">
        <v>24</v>
      </c>
      <c r="M95" s="598" t="s">
        <v>259</v>
      </c>
      <c r="N95" s="51" t="str">
        <f>IF(AND('331-CT'!$E$7=TH!H95,OR(L95="331",M95="331")),"331",IF(AND(OR(L95="131",M95="131"),H95='131-CT'!$E$7),"131",""))</f>
        <v/>
      </c>
      <c r="O95" s="891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>x</v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23"/>
    </row>
    <row r="96" spans="1:31" s="589" customFormat="1" ht="15.75" hidden="1" customHeight="1">
      <c r="A96" s="203" t="str">
        <f>IF(B96&lt;&gt;"",IF(AND(B96&gt;=_TM1,B96&lt;=_TM2,OR(TH!L96="1111",TH!M96="1111")),TH!D96,""),"")</f>
        <v/>
      </c>
      <c r="B96" s="36">
        <f t="shared" si="11"/>
        <v>8</v>
      </c>
      <c r="C96" s="183">
        <f t="shared" ref="C96:C165" si="15">E96</f>
        <v>42583</v>
      </c>
      <c r="D96" s="183" t="s">
        <v>557</v>
      </c>
      <c r="E96" s="183">
        <v>42583</v>
      </c>
      <c r="F96" s="188" t="s">
        <v>552</v>
      </c>
      <c r="G96" s="479" t="s">
        <v>561</v>
      </c>
      <c r="H96" s="7" t="s">
        <v>484</v>
      </c>
      <c r="I96" s="255"/>
      <c r="J96" s="255"/>
      <c r="K96" s="597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91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>x</v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/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23"/>
    </row>
    <row r="97" spans="1:31" s="589" customFormat="1" ht="15.75" hidden="1" customHeight="1">
      <c r="A97" s="203" t="str">
        <f>IF(B97&lt;&gt;"",IF(AND(B97&gt;=_TM1,B97&lt;=_TM2,OR(TH!L97="1111",TH!M97="1111")),TH!D97,""),"")</f>
        <v/>
      </c>
      <c r="B97" s="36">
        <f t="shared" si="11"/>
        <v>8</v>
      </c>
      <c r="C97" s="183">
        <f t="shared" si="15"/>
        <v>42599</v>
      </c>
      <c r="D97" s="183" t="s">
        <v>556</v>
      </c>
      <c r="E97" s="183">
        <v>42599</v>
      </c>
      <c r="F97" s="188" t="s">
        <v>571</v>
      </c>
      <c r="G97" s="479" t="s">
        <v>561</v>
      </c>
      <c r="H97" s="7" t="s">
        <v>425</v>
      </c>
      <c r="I97" s="255"/>
      <c r="J97" s="255"/>
      <c r="K97" s="597">
        <v>12160500</v>
      </c>
      <c r="L97" s="598" t="s">
        <v>24</v>
      </c>
      <c r="M97" s="598" t="s">
        <v>259</v>
      </c>
      <c r="N97" s="51" t="str">
        <f>IF(AND('331-CT'!$E$7=TH!H97,OR(L97="331",M97="331")),"331",IF(AND(OR(L97="131",M97="131"),H97='131-CT'!$E$7),"131",""))</f>
        <v/>
      </c>
      <c r="O97" s="891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>x</v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/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23"/>
    </row>
    <row r="98" spans="1:31" s="589" customFormat="1" ht="15.75" hidden="1" customHeight="1">
      <c r="A98" s="203" t="str">
        <f>IF(B98&lt;&gt;"",IF(AND(B98&gt;=_TM1,B98&lt;=_TM2,OR(TH!L98="1111",TH!M98="1111")),TH!D98,""),"")</f>
        <v/>
      </c>
      <c r="B98" s="36">
        <f t="shared" si="11"/>
        <v>8</v>
      </c>
      <c r="C98" s="183">
        <f t="shared" si="15"/>
        <v>42599</v>
      </c>
      <c r="D98" s="183" t="s">
        <v>556</v>
      </c>
      <c r="E98" s="183">
        <v>42599</v>
      </c>
      <c r="F98" s="188" t="s">
        <v>558</v>
      </c>
      <c r="G98" s="479" t="s">
        <v>561</v>
      </c>
      <c r="H98" s="7" t="s">
        <v>562</v>
      </c>
      <c r="I98" s="255"/>
      <c r="J98" s="255"/>
      <c r="K98" s="37">
        <v>800000</v>
      </c>
      <c r="L98" s="193" t="s">
        <v>24</v>
      </c>
      <c r="M98" s="193" t="s">
        <v>47</v>
      </c>
      <c r="N98" s="51" t="str">
        <f>IF(AND('331-CT'!$E$7=TH!H98,OR(L98="331",M98="331")),"331",IF(AND(OR(L98="131",M98="131"),H98='131-CT'!$E$7),"131",""))</f>
        <v/>
      </c>
      <c r="O98" s="891" t="str">
        <f>IF(AND('341-CT'!$E$9=H98,OR(LEFT(L98,3)=$O$7,LEFT(M98,3)=$O$7)),"x","")</f>
        <v/>
      </c>
      <c r="P98" s="51" t="str">
        <f>IF(AND($B98&gt;='111'!$N$11,$B98&lt;='111'!$O$11,OR($L98=$P$7,$M98=$P$7)),"x","")</f>
        <v>x</v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>x</v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23"/>
    </row>
    <row r="99" spans="1:31" s="589" customFormat="1" ht="15.75" hidden="1" customHeight="1">
      <c r="A99" s="203" t="str">
        <f>IF(B99&lt;&gt;"",IF(AND(B99&gt;=_TM1,B99&lt;=_TM2,OR(TH!L99="1111",TH!M99="1111")),TH!D99,""),"")</f>
        <v/>
      </c>
      <c r="B99" s="36">
        <f t="shared" si="11"/>
        <v>8</v>
      </c>
      <c r="C99" s="183">
        <f t="shared" si="15"/>
        <v>42599</v>
      </c>
      <c r="D99" s="183" t="s">
        <v>557</v>
      </c>
      <c r="E99" s="183">
        <v>42599</v>
      </c>
      <c r="F99" s="188" t="s">
        <v>572</v>
      </c>
      <c r="G99" s="479" t="s">
        <v>561</v>
      </c>
      <c r="H99" s="7" t="s">
        <v>562</v>
      </c>
      <c r="I99" s="255"/>
      <c r="J99" s="255"/>
      <c r="K99" s="597">
        <v>13000000</v>
      </c>
      <c r="L99" s="598" t="s">
        <v>47</v>
      </c>
      <c r="M99" s="598" t="s">
        <v>24</v>
      </c>
      <c r="N99" s="51" t="str">
        <f>IF(AND('331-CT'!$E$7=TH!H99,OR(L99="331",M99="331")),"331",IF(AND(OR(L99="131",M99="131"),H99='131-CT'!$E$7),"131",""))</f>
        <v/>
      </c>
      <c r="O99" s="891" t="str">
        <f>IF(AND('341-CT'!$E$9=H99,OR(LEFT(L99,3)=$O$7,LEFT(M99,3)=$O$7)),"x","")</f>
        <v/>
      </c>
      <c r="P99" s="51" t="str">
        <f>IF(AND($B99&gt;='111'!$N$11,$B99&lt;='111'!$O$11,OR($L99=$P$7,$M99=$P$7)),"x","")</f>
        <v>x</v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>x</v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23"/>
    </row>
    <row r="100" spans="1:31" s="589" customFormat="1" ht="15.75" hidden="1" customHeight="1">
      <c r="A100" s="203" t="str">
        <f>IF(B100&lt;&gt;"",IF(AND(B100&gt;=_TM1,B100&lt;=_TM2,OR(TH!L100="1111",TH!M100="1111")),TH!D100,""),"")</f>
        <v/>
      </c>
      <c r="B100" s="36">
        <f t="shared" si="11"/>
        <v>8</v>
      </c>
      <c r="C100" s="183">
        <f t="shared" si="15"/>
        <v>42601</v>
      </c>
      <c r="D100" s="183" t="s">
        <v>556</v>
      </c>
      <c r="E100" s="183">
        <v>42601</v>
      </c>
      <c r="F100" s="188" t="s">
        <v>558</v>
      </c>
      <c r="G100" s="479" t="s">
        <v>561</v>
      </c>
      <c r="H100" s="7" t="s">
        <v>562</v>
      </c>
      <c r="I100" s="255"/>
      <c r="J100" s="255"/>
      <c r="K100" s="37">
        <v>277000000</v>
      </c>
      <c r="L100" s="193" t="s">
        <v>24</v>
      </c>
      <c r="M100" s="193" t="s">
        <v>47</v>
      </c>
      <c r="N100" s="51" t="str">
        <f>IF(AND('331-CT'!$E$7=TH!H100,OR(L100="331",M100="331")),"331",IF(AND(OR(L100="131",M100="131"),H100='131-CT'!$E$7),"131",""))</f>
        <v/>
      </c>
      <c r="O100" s="891" t="str">
        <f>IF(AND('341-CT'!$E$9=H100,OR(LEFT(L100,3)=$O$7,LEFT(M100,3)=$O$7)),"x","")</f>
        <v/>
      </c>
      <c r="P100" s="51" t="str">
        <f>IF(AND($B100&gt;='111'!$N$11,$B100&lt;='111'!$O$11,OR($L100=$P$7,$M100=$P$7)),"x","")</f>
        <v>x</v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>x</v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23"/>
      <c r="AE100" s="210"/>
    </row>
    <row r="101" spans="1:31" s="589" customFormat="1" ht="15.75" hidden="1" customHeight="1">
      <c r="A101" s="203" t="str">
        <f>IF(B101&lt;&gt;"",IF(AND(B101&gt;=_TM1,B101&lt;=_TM2,OR(TH!L101="1111",TH!M101="1111")),TH!D101,""),"")</f>
        <v/>
      </c>
      <c r="B101" s="36">
        <f t="shared" si="11"/>
        <v>8</v>
      </c>
      <c r="C101" s="183">
        <f t="shared" si="15"/>
        <v>42601</v>
      </c>
      <c r="D101" s="183" t="s">
        <v>557</v>
      </c>
      <c r="E101" s="183">
        <v>42601</v>
      </c>
      <c r="F101" s="188" t="s">
        <v>552</v>
      </c>
      <c r="G101" s="479" t="s">
        <v>561</v>
      </c>
      <c r="H101" s="7" t="s">
        <v>484</v>
      </c>
      <c r="I101" s="255"/>
      <c r="J101" s="255"/>
      <c r="K101" s="597">
        <v>180000000</v>
      </c>
      <c r="L101" s="193" t="s">
        <v>8</v>
      </c>
      <c r="M101" s="193" t="s">
        <v>24</v>
      </c>
      <c r="N101" s="51" t="str">
        <f>IF(AND('331-CT'!$E$7=TH!H101,OR(L101="331",M101="331")),"331",IF(AND(OR(L101="131",M101="131"),H101='131-CT'!$E$7),"131",""))</f>
        <v/>
      </c>
      <c r="O101" s="891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>x</v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23"/>
      <c r="AE101" s="210"/>
    </row>
    <row r="102" spans="1:31" s="589" customFormat="1" ht="15.75" hidden="1" customHeight="1">
      <c r="A102" s="203" t="str">
        <f>IF(B102&lt;&gt;"",IF(AND(B102&gt;=_TM1,B102&lt;=_TM2,OR(TH!L102="1111",TH!M102="1111")),TH!D102,""),"")</f>
        <v/>
      </c>
      <c r="B102" s="36">
        <f t="shared" si="11"/>
        <v>8</v>
      </c>
      <c r="C102" s="183">
        <f t="shared" si="15"/>
        <v>42601</v>
      </c>
      <c r="D102" s="183" t="s">
        <v>557</v>
      </c>
      <c r="E102" s="183">
        <v>42601</v>
      </c>
      <c r="F102" s="188" t="s">
        <v>567</v>
      </c>
      <c r="G102" s="479" t="s">
        <v>561</v>
      </c>
      <c r="H102" s="7"/>
      <c r="I102" s="255"/>
      <c r="J102" s="255"/>
      <c r="K102" s="597">
        <v>10000</v>
      </c>
      <c r="L102" s="193" t="s">
        <v>83</v>
      </c>
      <c r="M102" s="193" t="s">
        <v>24</v>
      </c>
      <c r="N102" s="51" t="str">
        <f>IF(AND('331-CT'!$E$7=TH!H102,OR(L102="331",M102="331")),"331",IF(AND(OR(L102="131",M102="131"),H102='131-CT'!$E$7),"131",""))</f>
        <v/>
      </c>
      <c r="O102" s="891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>x</v>
      </c>
      <c r="T102" s="51" t="str">
        <f>IF(ISERROR(FIND('112'!$M$9,G102,1)),"",IF((AND(LEFT(G102,2)=LEFT('112'!$M$9,2),B102&lt;'112'!$N$8,$L102='112'!$I$6)),"x",""))</f>
        <v/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>x</v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23">
        <v>3</v>
      </c>
    </row>
    <row r="103" spans="1:31" s="589" customFormat="1" ht="15.75" hidden="1" customHeight="1">
      <c r="A103" s="203" t="str">
        <f>IF(B103&lt;&gt;"",IF(AND(B103&gt;=_TM1,B103&lt;=_TM2,OR(TH!L103="1111",TH!M103="1111")),TH!D103,""),"")</f>
        <v/>
      </c>
      <c r="B103" s="36">
        <f t="shared" si="11"/>
        <v>8</v>
      </c>
      <c r="C103" s="183">
        <f t="shared" si="15"/>
        <v>42601</v>
      </c>
      <c r="D103" s="183" t="s">
        <v>557</v>
      </c>
      <c r="E103" s="183">
        <v>42601</v>
      </c>
      <c r="F103" s="188" t="s">
        <v>568</v>
      </c>
      <c r="G103" s="479" t="s">
        <v>561</v>
      </c>
      <c r="H103" s="7"/>
      <c r="I103" s="255"/>
      <c r="J103" s="255"/>
      <c r="K103" s="597">
        <v>1000</v>
      </c>
      <c r="L103" s="193" t="s">
        <v>9</v>
      </c>
      <c r="M103" s="193" t="s">
        <v>24</v>
      </c>
      <c r="N103" s="51" t="str">
        <f>IF(AND('331-CT'!$E$7=TH!H103,OR(L103="331",M103="331")),"331",IF(AND(OR(L103="131",M103="131"),H103='131-CT'!$E$7),"131",""))</f>
        <v/>
      </c>
      <c r="O103" s="891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>x</v>
      </c>
      <c r="T103" s="51" t="str">
        <f>IF(ISERROR(FIND('112'!$M$9,G103,1)),"",IF((AND(LEFT(G103,2)=LEFT('112'!$M$9,2),B103&lt;'112'!$N$8,$L103='112'!$I$6)),"x",""))</f>
        <v/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23">
        <v>3</v>
      </c>
    </row>
    <row r="104" spans="1:31" s="589" customFormat="1" ht="15.75" hidden="1" customHeight="1">
      <c r="A104" s="203" t="str">
        <f>IF(B104&lt;&gt;"",IF(AND(B104&gt;=_TM1,B104&lt;=_TM2,OR(TH!L104="1111",TH!M104="1111")),TH!D104,""),"")</f>
        <v/>
      </c>
      <c r="B104" s="36">
        <f t="shared" si="11"/>
        <v>8</v>
      </c>
      <c r="C104" s="183">
        <f t="shared" si="15"/>
        <v>42601</v>
      </c>
      <c r="D104" s="183" t="s">
        <v>557</v>
      </c>
      <c r="E104" s="183">
        <v>42601</v>
      </c>
      <c r="F104" s="188" t="s">
        <v>552</v>
      </c>
      <c r="G104" s="479" t="s">
        <v>561</v>
      </c>
      <c r="H104" s="7" t="s">
        <v>483</v>
      </c>
      <c r="I104" s="255"/>
      <c r="J104" s="255"/>
      <c r="K104" s="597">
        <v>56000000</v>
      </c>
      <c r="L104" s="193" t="s">
        <v>8</v>
      </c>
      <c r="M104" s="193" t="s">
        <v>24</v>
      </c>
      <c r="N104" s="51" t="str">
        <f>IF(AND('331-CT'!$E$7=TH!H104,OR(L104="331",M104="331")),"331",IF(AND(OR(L104="131",M104="131"),H104='131-CT'!$E$7),"131",""))</f>
        <v/>
      </c>
      <c r="O104" s="891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>x</v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/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23"/>
    </row>
    <row r="105" spans="1:31" s="589" customFormat="1" ht="15.75" hidden="1" customHeight="1">
      <c r="A105" s="203" t="str">
        <f>IF(B105&lt;&gt;"",IF(AND(B105&gt;=_TM1,B105&lt;=_TM2,OR(TH!L105="1111",TH!M105="1111")),TH!D105,""),"")</f>
        <v/>
      </c>
      <c r="B105" s="36">
        <f t="shared" si="11"/>
        <v>8</v>
      </c>
      <c r="C105" s="183">
        <f t="shared" si="15"/>
        <v>42601</v>
      </c>
      <c r="D105" s="183" t="s">
        <v>557</v>
      </c>
      <c r="E105" s="183">
        <v>42601</v>
      </c>
      <c r="F105" s="188" t="s">
        <v>567</v>
      </c>
      <c r="G105" s="479" t="s">
        <v>561</v>
      </c>
      <c r="H105" s="7"/>
      <c r="I105" s="255"/>
      <c r="J105" s="255"/>
      <c r="K105" s="597">
        <v>20000</v>
      </c>
      <c r="L105" s="193" t="s">
        <v>83</v>
      </c>
      <c r="M105" s="193" t="s">
        <v>24</v>
      </c>
      <c r="N105" s="51" t="str">
        <f>IF(AND('331-CT'!$E$7=TH!H105,OR(L105="331",M105="331")),"331",IF(AND(OR(L105="131",M105="131"),H105='131-CT'!$E$7),"131",""))</f>
        <v/>
      </c>
      <c r="O105" s="891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>x</v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>x</v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23">
        <v>3</v>
      </c>
    </row>
    <row r="106" spans="1:31" s="589" customFormat="1" ht="15.75" hidden="1" customHeight="1">
      <c r="A106" s="203" t="str">
        <f>IF(B106&lt;&gt;"",IF(AND(B106&gt;=_TM1,B106&lt;=_TM2,OR(TH!L106="1111",TH!M106="1111")),TH!D106,""),"")</f>
        <v/>
      </c>
      <c r="B106" s="36">
        <f t="shared" si="11"/>
        <v>8</v>
      </c>
      <c r="C106" s="183">
        <f t="shared" si="15"/>
        <v>42601</v>
      </c>
      <c r="D106" s="183" t="s">
        <v>557</v>
      </c>
      <c r="E106" s="183">
        <v>42601</v>
      </c>
      <c r="F106" s="188" t="s">
        <v>568</v>
      </c>
      <c r="G106" s="479" t="s">
        <v>561</v>
      </c>
      <c r="H106" s="7"/>
      <c r="I106" s="255"/>
      <c r="J106" s="255"/>
      <c r="K106" s="597">
        <v>2000</v>
      </c>
      <c r="L106" s="193" t="s">
        <v>9</v>
      </c>
      <c r="M106" s="193" t="s">
        <v>24</v>
      </c>
      <c r="N106" s="51" t="str">
        <f>IF(AND('331-CT'!$E$7=TH!H106,OR(L106="331",M106="331")),"331",IF(AND(OR(L106="131",M106="131"),H106='131-CT'!$E$7),"131",""))</f>
        <v/>
      </c>
      <c r="O106" s="891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>x</v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23">
        <v>3</v>
      </c>
      <c r="AE106" s="210"/>
    </row>
    <row r="107" spans="1:31" s="589" customFormat="1" ht="15.75" hidden="1" customHeight="1">
      <c r="A107" s="203" t="str">
        <f>IF(B107&lt;&gt;"",IF(AND(B107&gt;=_TM1,B107&lt;=_TM2,OR(TH!L107="1111",TH!M107="1111")),TH!D107,""),"")</f>
        <v/>
      </c>
      <c r="B107" s="36">
        <f t="shared" si="11"/>
        <v>8</v>
      </c>
      <c r="C107" s="183">
        <f t="shared" si="15"/>
        <v>42601</v>
      </c>
      <c r="D107" s="183" t="s">
        <v>557</v>
      </c>
      <c r="E107" s="183">
        <v>42601</v>
      </c>
      <c r="F107" s="188" t="s">
        <v>566</v>
      </c>
      <c r="G107" s="479" t="s">
        <v>561</v>
      </c>
      <c r="H107" s="192" t="s">
        <v>777</v>
      </c>
      <c r="I107" s="255"/>
      <c r="J107" s="255"/>
      <c r="K107" s="37">
        <v>40700000</v>
      </c>
      <c r="L107" s="193" t="s">
        <v>8</v>
      </c>
      <c r="M107" s="193" t="s">
        <v>24</v>
      </c>
      <c r="N107" s="51" t="str">
        <f>IF(AND('331-CT'!$E$7=TH!H107,OR(L107="331",M107="331")),"331",IF(AND(OR(L107="131",M107="131"),H107='131-CT'!$E$7),"131",""))</f>
        <v/>
      </c>
      <c r="O107" s="891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>x</v>
      </c>
      <c r="T107" s="51" t="str">
        <f>IF(ISERROR(FIND('112'!$M$9,G107,1)),"",IF((AND(LEFT(G107,2)=LEFT('112'!$M$9,2),B107&lt;'112'!$N$8,$L107='112'!$I$6)),"x",""))</f>
        <v/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23"/>
      <c r="AD107" s="210"/>
      <c r="AE107" s="210"/>
    </row>
    <row r="108" spans="1:31" s="589" customFormat="1" ht="15.75" hidden="1" customHeight="1">
      <c r="A108" s="203" t="str">
        <f>IF(B108&lt;&gt;"",IF(AND(B108&gt;=_TM1,B108&lt;=_TM2,OR(TH!L108="1111",TH!M108="1111")),TH!D108,""),"")</f>
        <v/>
      </c>
      <c r="B108" s="36">
        <f t="shared" si="11"/>
        <v>8</v>
      </c>
      <c r="C108" s="183">
        <f t="shared" si="15"/>
        <v>42601</v>
      </c>
      <c r="D108" s="183" t="s">
        <v>557</v>
      </c>
      <c r="E108" s="183">
        <v>42601</v>
      </c>
      <c r="F108" s="188" t="s">
        <v>567</v>
      </c>
      <c r="G108" s="479" t="s">
        <v>561</v>
      </c>
      <c r="H108" s="7"/>
      <c r="I108" s="255"/>
      <c r="J108" s="255"/>
      <c r="K108" s="597">
        <v>20000</v>
      </c>
      <c r="L108" s="193" t="s">
        <v>83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91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>x</v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/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>x</v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23">
        <v>3</v>
      </c>
      <c r="AE108" s="210"/>
    </row>
    <row r="109" spans="1:31" s="589" customFormat="1" ht="15.75" hidden="1" customHeight="1">
      <c r="A109" s="203" t="str">
        <f>IF(B109&lt;&gt;"",IF(AND(B109&gt;=_TM1,B109&lt;=_TM2,OR(TH!L109="1111",TH!M109="1111")),TH!D109,""),"")</f>
        <v/>
      </c>
      <c r="B109" s="36">
        <f t="shared" si="11"/>
        <v>8</v>
      </c>
      <c r="C109" s="183">
        <f t="shared" si="15"/>
        <v>42601</v>
      </c>
      <c r="D109" s="183" t="s">
        <v>557</v>
      </c>
      <c r="E109" s="183">
        <v>42601</v>
      </c>
      <c r="F109" s="188" t="s">
        <v>568</v>
      </c>
      <c r="G109" s="479" t="s">
        <v>561</v>
      </c>
      <c r="H109" s="7"/>
      <c r="I109" s="255"/>
      <c r="J109" s="255"/>
      <c r="K109" s="597">
        <v>2000</v>
      </c>
      <c r="L109" s="193" t="s">
        <v>9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91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>x</v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/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/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23">
        <v>3</v>
      </c>
      <c r="AD109" s="210"/>
      <c r="AE109" s="210"/>
    </row>
    <row r="110" spans="1:31" s="589" customFormat="1" ht="15.75" hidden="1" customHeight="1">
      <c r="A110" s="203" t="str">
        <f>IF(B110&lt;&gt;"",IF(AND(B110&gt;=_TM1,B110&lt;=_TM2,OR(TH!L110="1111",TH!M110="1111")),TH!D110,""),"")</f>
        <v/>
      </c>
      <c r="B110" s="36">
        <f t="shared" si="11"/>
        <v>8</v>
      </c>
      <c r="C110" s="183">
        <f t="shared" si="15"/>
        <v>42601</v>
      </c>
      <c r="D110" s="183" t="s">
        <v>557</v>
      </c>
      <c r="E110" s="183">
        <v>42601</v>
      </c>
      <c r="F110" s="188" t="s">
        <v>573</v>
      </c>
      <c r="G110" s="479" t="s">
        <v>561</v>
      </c>
      <c r="H110" s="7"/>
      <c r="I110" s="255"/>
      <c r="J110" s="255"/>
      <c r="K110" s="597">
        <v>83010</v>
      </c>
      <c r="L110" s="193" t="s">
        <v>83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91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>x</v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/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>x</v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23">
        <v>3</v>
      </c>
      <c r="AE110" s="210"/>
    </row>
    <row r="111" spans="1:31" s="589" customFormat="1" ht="15.75" hidden="1" customHeight="1">
      <c r="A111" s="203" t="str">
        <f>IF(B111&lt;&gt;"",IF(AND(B111&gt;=_TM1,B111&lt;=_TM2,OR(TH!L111="1111",TH!M111="1111")),TH!D111,""),"")</f>
        <v/>
      </c>
      <c r="B111" s="36">
        <f t="shared" si="11"/>
        <v>8</v>
      </c>
      <c r="C111" s="183">
        <f t="shared" si="15"/>
        <v>42601</v>
      </c>
      <c r="D111" s="183" t="s">
        <v>557</v>
      </c>
      <c r="E111" s="183">
        <v>42601</v>
      </c>
      <c r="F111" s="188" t="s">
        <v>574</v>
      </c>
      <c r="G111" s="479" t="s">
        <v>561</v>
      </c>
      <c r="H111" s="7"/>
      <c r="I111" s="255"/>
      <c r="J111" s="255"/>
      <c r="K111" s="597">
        <v>8301</v>
      </c>
      <c r="L111" s="193" t="s">
        <v>9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91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>x</v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/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23">
        <v>3</v>
      </c>
      <c r="AD111" s="210"/>
      <c r="AE111" s="210"/>
    </row>
    <row r="112" spans="1:31" s="589" customFormat="1" ht="15.75" hidden="1" customHeight="1">
      <c r="A112" s="203" t="str">
        <f>IF(B112&lt;&gt;"",IF(AND(B112&gt;=_TM1,B112&lt;=_TM2,OR(TH!L112="1111",TH!M112="1111")),TH!D112,""),"")</f>
        <v/>
      </c>
      <c r="B112" s="36">
        <f t="shared" si="11"/>
        <v>8</v>
      </c>
      <c r="C112" s="183">
        <f t="shared" si="15"/>
        <v>42606</v>
      </c>
      <c r="D112" s="183" t="s">
        <v>556</v>
      </c>
      <c r="E112" s="190">
        <v>42606</v>
      </c>
      <c r="F112" s="188" t="s">
        <v>571</v>
      </c>
      <c r="G112" s="479" t="s">
        <v>561</v>
      </c>
      <c r="H112" s="7" t="s">
        <v>429</v>
      </c>
      <c r="I112" s="255"/>
      <c r="J112" s="255"/>
      <c r="K112" s="597">
        <v>9389600</v>
      </c>
      <c r="L112" s="598" t="s">
        <v>24</v>
      </c>
      <c r="M112" s="598" t="s">
        <v>259</v>
      </c>
      <c r="N112" s="51" t="str">
        <f>IF(AND('331-CT'!$E$7=TH!H112,OR(L112="331",M112="331")),"331",IF(AND(OR(L112="131",M112="131"),H112='131-CT'!$E$7),"131",""))</f>
        <v/>
      </c>
      <c r="O112" s="891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>x</v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/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/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23"/>
      <c r="AD112" s="210"/>
      <c r="AE112" s="210"/>
    </row>
    <row r="113" spans="1:31" s="589" customFormat="1" ht="15.75" hidden="1" customHeight="1">
      <c r="A113" s="203" t="str">
        <f>IF(B113&lt;&gt;"",IF(AND(B113&gt;=_TM1,B113&lt;=_TM2,OR(TH!L113="1111",TH!M113="1111")),TH!D113,""),"")</f>
        <v/>
      </c>
      <c r="B113" s="36">
        <f t="shared" si="11"/>
        <v>8</v>
      </c>
      <c r="C113" s="183">
        <f t="shared" si="15"/>
        <v>42607</v>
      </c>
      <c r="D113" s="183" t="s">
        <v>556</v>
      </c>
      <c r="E113" s="190">
        <v>42607</v>
      </c>
      <c r="F113" s="188" t="s">
        <v>563</v>
      </c>
      <c r="G113" s="479" t="s">
        <v>561</v>
      </c>
      <c r="H113" s="7"/>
      <c r="I113" s="255"/>
      <c r="J113" s="255"/>
      <c r="K113" s="597">
        <v>3371</v>
      </c>
      <c r="L113" s="193" t="s">
        <v>24</v>
      </c>
      <c r="M113" s="193" t="s">
        <v>40</v>
      </c>
      <c r="N113" s="51" t="str">
        <f>IF(AND('331-CT'!$E$7=TH!H113,OR(L113="331",M113="331")),"331",IF(AND(OR(L113="131",M113="131"),H113='131-CT'!$E$7),"131",""))</f>
        <v/>
      </c>
      <c r="O113" s="891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>x</v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/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23"/>
      <c r="AE113" s="210"/>
    </row>
    <row r="114" spans="1:31" s="589" customFormat="1" ht="15.75" hidden="1" customHeight="1">
      <c r="A114" s="203" t="str">
        <f>IF(B114&lt;&gt;"",IF(AND(B114&gt;=_TM1,B114&lt;=_TM2,OR(TH!L114="1111",TH!M114="1111")),TH!D114,""),"")</f>
        <v/>
      </c>
      <c r="B114" s="36">
        <f t="shared" ref="B114:B182" si="16">IF(C114&lt;&gt;"",MONTH(C114),"")</f>
        <v>8</v>
      </c>
      <c r="C114" s="183">
        <f t="shared" si="15"/>
        <v>42607</v>
      </c>
      <c r="D114" s="183" t="s">
        <v>556</v>
      </c>
      <c r="E114" s="190">
        <v>42607</v>
      </c>
      <c r="F114" s="188" t="s">
        <v>571</v>
      </c>
      <c r="G114" s="479" t="s">
        <v>561</v>
      </c>
      <c r="H114" s="7" t="s">
        <v>437</v>
      </c>
      <c r="I114" s="255"/>
      <c r="J114" s="255"/>
      <c r="K114" s="597">
        <v>12569920</v>
      </c>
      <c r="L114" s="598" t="s">
        <v>24</v>
      </c>
      <c r="M114" s="598" t="s">
        <v>259</v>
      </c>
      <c r="N114" s="51" t="str">
        <f>IF(AND('331-CT'!$E$7=TH!H114,OR(L114="331",M114="331")),"331",IF(AND(OR(L114="131",M114="131"),H114='131-CT'!$E$7),"131",""))</f>
        <v/>
      </c>
      <c r="O114" s="891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>x</v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/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23"/>
      <c r="AE114" s="210"/>
    </row>
    <row r="115" spans="1:31" s="589" customFormat="1" ht="15.75" hidden="1" customHeight="1">
      <c r="A115" s="203" t="str">
        <f>IF(B115&lt;&gt;"",IF(AND(B115&gt;=_TM1,B115&lt;=_TM2,OR(TH!L115="1111",TH!M115="1111")),TH!D115,""),"")</f>
        <v/>
      </c>
      <c r="B115" s="36">
        <f t="shared" si="16"/>
        <v>8</v>
      </c>
      <c r="C115" s="183">
        <f t="shared" si="15"/>
        <v>42607</v>
      </c>
      <c r="D115" s="183" t="s">
        <v>557</v>
      </c>
      <c r="E115" s="190">
        <v>42607</v>
      </c>
      <c r="F115" s="188" t="s">
        <v>572</v>
      </c>
      <c r="G115" s="479" t="s">
        <v>561</v>
      </c>
      <c r="H115" s="7" t="s">
        <v>575</v>
      </c>
      <c r="I115" s="255"/>
      <c r="J115" s="255"/>
      <c r="K115" s="597">
        <v>9500000</v>
      </c>
      <c r="L115" s="598" t="s">
        <v>47</v>
      </c>
      <c r="M115" s="598" t="s">
        <v>24</v>
      </c>
      <c r="N115" s="51" t="str">
        <f>IF(AND('331-CT'!$E$7=TH!H115,OR(L115="331",M115="331")),"331",IF(AND(OR(L115="131",M115="131"),H115='131-CT'!$E$7),"131",""))</f>
        <v/>
      </c>
      <c r="O115" s="891" t="str">
        <f>IF(AND('341-CT'!$E$9=H115,OR(LEFT(L115,3)=$O$7,LEFT(M115,3)=$O$7)),"x","")</f>
        <v/>
      </c>
      <c r="P115" s="51" t="str">
        <f>IF(AND($B115&gt;='111'!$N$11,$B115&lt;='111'!$O$11,OR($L115=$P$7,$M115=$P$7)),"x","")</f>
        <v>x</v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>x</v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/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/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23"/>
      <c r="AE115" s="210"/>
    </row>
    <row r="116" spans="1:31" s="210" customFormat="1" ht="15.75" hidden="1" customHeight="1">
      <c r="A116" s="203" t="str">
        <f>IF(B116&lt;&gt;"",IF(AND(B116&gt;=_TM1,B116&lt;=_TM2,OR(TH!L116="1111",TH!M116="1111")),TH!D116,""),"")</f>
        <v/>
      </c>
      <c r="B116" s="36">
        <f t="shared" ref="B116:B117" si="17">IF(C116&lt;&gt;"",MONTH(C116),"")</f>
        <v>8</v>
      </c>
      <c r="C116" s="183">
        <f t="shared" ref="C116:C117" si="18">E116</f>
        <v>42607</v>
      </c>
      <c r="D116" s="183" t="s">
        <v>557</v>
      </c>
      <c r="E116" s="190">
        <v>42607</v>
      </c>
      <c r="F116" s="188" t="s">
        <v>576</v>
      </c>
      <c r="G116" s="479" t="s">
        <v>561</v>
      </c>
      <c r="H116" s="7"/>
      <c r="I116" s="255"/>
      <c r="J116" s="255"/>
      <c r="K116" s="37">
        <v>20000</v>
      </c>
      <c r="L116" s="193" t="s">
        <v>83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91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>x</v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/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>x</v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23">
        <v>3</v>
      </c>
      <c r="AC116" s="589"/>
      <c r="AD116" s="589"/>
    </row>
    <row r="117" spans="1:31" s="210" customFormat="1" ht="15.75" hidden="1" customHeight="1">
      <c r="A117" s="203" t="str">
        <f>IF(B117&lt;&gt;"",IF(AND(B117&gt;=_TM1,B117&lt;=_TM2,OR(TH!L117="1111",TH!M117="1111")),TH!D117,""),"")</f>
        <v/>
      </c>
      <c r="B117" s="36">
        <f t="shared" si="17"/>
        <v>8</v>
      </c>
      <c r="C117" s="183">
        <f t="shared" si="18"/>
        <v>42607</v>
      </c>
      <c r="D117" s="183" t="s">
        <v>557</v>
      </c>
      <c r="E117" s="190">
        <v>42607</v>
      </c>
      <c r="F117" s="188" t="s">
        <v>577</v>
      </c>
      <c r="G117" s="479" t="s">
        <v>561</v>
      </c>
      <c r="H117" s="7"/>
      <c r="I117" s="255"/>
      <c r="J117" s="255"/>
      <c r="K117" s="37">
        <v>2000</v>
      </c>
      <c r="L117" s="193" t="s">
        <v>9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91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>x</v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/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/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23">
        <v>3</v>
      </c>
      <c r="AC117" s="589"/>
    </row>
    <row r="118" spans="1:31" s="210" customFormat="1" ht="15.75" hidden="1" customHeight="1">
      <c r="A118" s="203" t="str">
        <f>IF(B118&lt;&gt;"",IF(AND(B118&gt;=_TM1,B118&lt;=_TM2,OR(TH!L118="1111",TH!M118="1111")),TH!D118,""),"")</f>
        <v/>
      </c>
      <c r="B118" s="36">
        <f t="shared" si="16"/>
        <v>8</v>
      </c>
      <c r="C118" s="183">
        <f t="shared" si="15"/>
        <v>42607</v>
      </c>
      <c r="D118" s="183" t="s">
        <v>557</v>
      </c>
      <c r="E118" s="190">
        <v>42607</v>
      </c>
      <c r="F118" s="188" t="s">
        <v>564</v>
      </c>
      <c r="G118" s="479" t="s">
        <v>561</v>
      </c>
      <c r="H118" s="7"/>
      <c r="I118" s="255"/>
      <c r="J118" s="255"/>
      <c r="K118" s="37">
        <v>10000</v>
      </c>
      <c r="L118" s="193" t="s">
        <v>83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91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>x</v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/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>x</v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23">
        <v>3</v>
      </c>
      <c r="AC118" s="589"/>
      <c r="AD118" s="589"/>
    </row>
    <row r="119" spans="1:31" s="210" customFormat="1" ht="15.75" hidden="1" customHeight="1">
      <c r="A119" s="203" t="str">
        <f>IF(B119&lt;&gt;"",IF(AND(B119&gt;=_TM1,B119&lt;=_TM2,OR(TH!L119="1111",TH!M119="1111")),TH!D119,""),"")</f>
        <v/>
      </c>
      <c r="B119" s="36">
        <f t="shared" si="16"/>
        <v>8</v>
      </c>
      <c r="C119" s="183">
        <f t="shared" si="15"/>
        <v>42607</v>
      </c>
      <c r="D119" s="183" t="s">
        <v>557</v>
      </c>
      <c r="E119" s="190">
        <v>42607</v>
      </c>
      <c r="F119" s="188" t="s">
        <v>565</v>
      </c>
      <c r="G119" s="479" t="s">
        <v>561</v>
      </c>
      <c r="H119" s="7"/>
      <c r="I119" s="255"/>
      <c r="J119" s="255"/>
      <c r="K119" s="37">
        <v>1000</v>
      </c>
      <c r="L119" s="193" t="s">
        <v>9</v>
      </c>
      <c r="M119" s="193" t="s">
        <v>24</v>
      </c>
      <c r="N119" s="51" t="str">
        <f>IF(AND('331-CT'!$E$7=TH!H119,OR(L119="331",M119="331")),"331",IF(AND(OR(L119="131",M119="131"),H119='131-CT'!$E$7),"131",""))</f>
        <v/>
      </c>
      <c r="O119" s="891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>x</v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/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23">
        <v>3</v>
      </c>
      <c r="AC119" s="589"/>
    </row>
    <row r="120" spans="1:31" s="210" customFormat="1" ht="15.75" hidden="1" customHeight="1">
      <c r="A120" s="203" t="str">
        <f>IF(B120&lt;&gt;"",IF(AND(B120&gt;=_TM1,B120&lt;=_TM2,OR(TH!L120="1111",TH!M120="1111")),TH!D120,""),"")</f>
        <v/>
      </c>
      <c r="B120" s="36">
        <f t="shared" si="16"/>
        <v>8</v>
      </c>
      <c r="C120" s="183">
        <f t="shared" si="15"/>
        <v>42608</v>
      </c>
      <c r="D120" s="183" t="s">
        <v>557</v>
      </c>
      <c r="E120" s="190">
        <v>42608</v>
      </c>
      <c r="F120" s="188" t="s">
        <v>572</v>
      </c>
      <c r="G120" s="479" t="s">
        <v>561</v>
      </c>
      <c r="H120" s="7" t="s">
        <v>562</v>
      </c>
      <c r="I120" s="255"/>
      <c r="J120" s="255"/>
      <c r="K120" s="597">
        <v>12600000</v>
      </c>
      <c r="L120" s="598" t="s">
        <v>47</v>
      </c>
      <c r="M120" s="598" t="s">
        <v>24</v>
      </c>
      <c r="N120" s="51" t="str">
        <f>IF(AND('331-CT'!$E$7=TH!H120,OR(L120="331",M120="331")),"331",IF(AND(OR(L120="131",M120="131"),H120='131-CT'!$E$7),"131",""))</f>
        <v/>
      </c>
      <c r="O120" s="891" t="str">
        <f>IF(AND('341-CT'!$E$9=H120,OR(LEFT(L120,3)=$O$7,LEFT(M120,3)=$O$7)),"x","")</f>
        <v/>
      </c>
      <c r="P120" s="51" t="str">
        <f>IF(AND($B120&gt;='111'!$N$11,$B120&lt;='111'!$O$11,OR($L120=$P$7,$M120=$P$7)),"x","")</f>
        <v>x</v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>x</v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23"/>
      <c r="AC120" s="589"/>
      <c r="AD120" s="589"/>
    </row>
    <row r="121" spans="1:31" s="210" customFormat="1" ht="15.75" hidden="1" customHeight="1">
      <c r="A121" s="203" t="str">
        <f>IF(B121&lt;&gt;"",IF(AND(B121&gt;=_TM1,B121&lt;=_TM2,OR(TH!L121="1111",TH!M121="1111")),TH!D121,""),"")</f>
        <v/>
      </c>
      <c r="B121" s="36">
        <f t="shared" si="16"/>
        <v>8</v>
      </c>
      <c r="C121" s="183">
        <f t="shared" si="15"/>
        <v>42613</v>
      </c>
      <c r="D121" s="183" t="s">
        <v>556</v>
      </c>
      <c r="E121" s="190">
        <v>42613</v>
      </c>
      <c r="F121" s="188" t="s">
        <v>571</v>
      </c>
      <c r="G121" s="479" t="s">
        <v>561</v>
      </c>
      <c r="H121" s="7" t="s">
        <v>428</v>
      </c>
      <c r="I121" s="255"/>
      <c r="J121" s="255"/>
      <c r="K121" s="597">
        <v>22752620</v>
      </c>
      <c r="L121" s="598" t="s">
        <v>24</v>
      </c>
      <c r="M121" s="598" t="s">
        <v>259</v>
      </c>
      <c r="N121" s="51" t="str">
        <f>IF(AND('331-CT'!$E$7=TH!H121,OR(L121="331",M121="331")),"331",IF(AND(OR(L121="131",M121="131"),H121='131-CT'!$E$7),"131",""))</f>
        <v/>
      </c>
      <c r="O121" s="891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>x</v>
      </c>
      <c r="T121" s="51" t="str">
        <f>IF(ISERROR(FIND('112'!$M$9,G121,1)),"",IF((AND(LEFT(G121,2)=LEFT('112'!$M$9,2),B121&lt;'112'!$N$8,$L121='112'!$I$6)),"x",""))</f>
        <v/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23"/>
      <c r="AC121" s="589"/>
      <c r="AD121" s="589"/>
      <c r="AE121" s="589"/>
    </row>
    <row r="122" spans="1:31" s="589" customFormat="1" ht="15.75" hidden="1" customHeight="1">
      <c r="A122" s="203" t="str">
        <f>IF(B122&lt;&gt;"",IF(AND(B122&gt;=_TM1,B122&lt;=_TM2,OR(TH!L122="1111",TH!M122="1111")),TH!D122,""),"")</f>
        <v/>
      </c>
      <c r="B122" s="36">
        <f t="shared" si="16"/>
        <v>9</v>
      </c>
      <c r="C122" s="183">
        <f t="shared" si="15"/>
        <v>42614</v>
      </c>
      <c r="D122" s="183" t="s">
        <v>556</v>
      </c>
      <c r="E122" s="190">
        <v>42614</v>
      </c>
      <c r="F122" s="188" t="s">
        <v>572</v>
      </c>
      <c r="G122" s="479" t="s">
        <v>561</v>
      </c>
      <c r="H122" s="7" t="s">
        <v>562</v>
      </c>
      <c r="I122" s="255"/>
      <c r="J122" s="255"/>
      <c r="K122" s="37">
        <v>7000000</v>
      </c>
      <c r="L122" s="598" t="s">
        <v>47</v>
      </c>
      <c r="M122" s="598" t="s">
        <v>24</v>
      </c>
      <c r="N122" s="51" t="str">
        <f>IF(AND('331-CT'!$E$7=TH!H122,OR(L122="331",M122="331")),"331",IF(AND(OR(L122="131",M122="131"),H122='131-CT'!$E$7),"131",""))</f>
        <v/>
      </c>
      <c r="O122" s="891" t="str">
        <f>IF(AND('341-CT'!$E$9=H122,OR(LEFT(L122,3)=$O$7,LEFT(M122,3)=$O$7)),"x","")</f>
        <v/>
      </c>
      <c r="P122" s="51" t="str">
        <f>IF(AND($B122&gt;='111'!$N$11,$B122&lt;='111'!$O$11,OR($L122=$P$7,$M122=$P$7)),"x","")</f>
        <v>x</v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>x</v>
      </c>
      <c r="T122" s="51" t="str">
        <f>IF(ISERROR(FIND('112'!$M$9,G122,1)),"",IF((AND(LEFT(G122,2)=LEFT('112'!$M$9,2),B122&lt;'112'!$N$8,$L122='112'!$I$6)),"x",""))</f>
        <v/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23"/>
    </row>
    <row r="123" spans="1:31" s="589" customFormat="1" ht="15.75" hidden="1" customHeight="1">
      <c r="A123" s="203" t="str">
        <f>IF(B123&lt;&gt;"",IF(AND(B123&gt;=_TM1,B123&lt;=_TM2,OR(TH!L123="1111",TH!M123="1111")),TH!D123,""),"")</f>
        <v/>
      </c>
      <c r="B123" s="36">
        <f t="shared" si="16"/>
        <v>9</v>
      </c>
      <c r="C123" s="183">
        <f t="shared" si="15"/>
        <v>42614</v>
      </c>
      <c r="D123" s="183" t="s">
        <v>557</v>
      </c>
      <c r="E123" s="190">
        <v>42614</v>
      </c>
      <c r="F123" s="188" t="s">
        <v>552</v>
      </c>
      <c r="G123" s="479" t="s">
        <v>561</v>
      </c>
      <c r="H123" s="7" t="s">
        <v>483</v>
      </c>
      <c r="I123" s="255"/>
      <c r="J123" s="255"/>
      <c r="K123" s="597">
        <v>15000000</v>
      </c>
      <c r="L123" s="193" t="s">
        <v>8</v>
      </c>
      <c r="M123" s="193" t="s">
        <v>24</v>
      </c>
      <c r="N123" s="51" t="str">
        <f>IF(AND('331-CT'!$E$7=TH!H123,OR(L123="331",M123="331")),"331",IF(AND(OR(L123="131",M123="131"),H123='131-CT'!$E$7),"131",""))</f>
        <v/>
      </c>
      <c r="O123" s="891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>x</v>
      </c>
      <c r="T123" s="51" t="str">
        <f>IF(ISERROR(FIND('112'!$M$9,G123,1)),"",IF((AND(LEFT(G123,2)=LEFT('112'!$M$9,2),B123&lt;'112'!$N$8,$L123='112'!$I$6)),"x",""))</f>
        <v/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23"/>
      <c r="AE123" s="210"/>
    </row>
    <row r="124" spans="1:31" s="589" customFormat="1" ht="15.75" hidden="1" customHeight="1">
      <c r="A124" s="203" t="str">
        <f>IF(B124&lt;&gt;"",IF(AND(B124&gt;=_TM1,B124&lt;=_TM2,OR(TH!L124="1111",TH!M124="1111")),TH!D124,""),"")</f>
        <v/>
      </c>
      <c r="B124" s="36">
        <f t="shared" si="16"/>
        <v>9</v>
      </c>
      <c r="C124" s="183">
        <f t="shared" si="15"/>
        <v>42614</v>
      </c>
      <c r="D124" s="183" t="s">
        <v>557</v>
      </c>
      <c r="E124" s="190">
        <v>42614</v>
      </c>
      <c r="F124" s="188" t="s">
        <v>567</v>
      </c>
      <c r="G124" s="479" t="s">
        <v>561</v>
      </c>
      <c r="H124" s="7"/>
      <c r="I124" s="255"/>
      <c r="J124" s="255"/>
      <c r="K124" s="597">
        <v>20000</v>
      </c>
      <c r="L124" s="193" t="s">
        <v>83</v>
      </c>
      <c r="M124" s="193" t="s">
        <v>24</v>
      </c>
      <c r="N124" s="51" t="str">
        <f>IF(AND('331-CT'!$E$7=TH!H124,OR(L124="331",M124="331")),"331",IF(AND(OR(L124="131",M124="131"),H124='131-CT'!$E$7),"131",""))</f>
        <v/>
      </c>
      <c r="O124" s="891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>x</v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/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>x</v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23">
        <v>3</v>
      </c>
    </row>
    <row r="125" spans="1:31" s="589" customFormat="1" ht="15.75" hidden="1" customHeight="1">
      <c r="A125" s="203" t="str">
        <f>IF(B125&lt;&gt;"",IF(AND(B125&gt;=_TM1,B125&lt;=_TM2,OR(TH!L125="1111",TH!M125="1111")),TH!D125,""),"")</f>
        <v/>
      </c>
      <c r="B125" s="36">
        <f t="shared" si="16"/>
        <v>9</v>
      </c>
      <c r="C125" s="183">
        <f t="shared" si="15"/>
        <v>42614</v>
      </c>
      <c r="D125" s="183" t="s">
        <v>557</v>
      </c>
      <c r="E125" s="190">
        <v>42614</v>
      </c>
      <c r="F125" s="188" t="s">
        <v>568</v>
      </c>
      <c r="G125" s="479" t="s">
        <v>561</v>
      </c>
      <c r="H125" s="7"/>
      <c r="I125" s="255"/>
      <c r="J125" s="255"/>
      <c r="K125" s="597">
        <v>2000</v>
      </c>
      <c r="L125" s="193" t="s">
        <v>9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91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>x</v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/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/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23">
        <v>3</v>
      </c>
    </row>
    <row r="126" spans="1:31" s="589" customFormat="1" ht="15.75" hidden="1" customHeight="1">
      <c r="A126" s="203" t="str">
        <f>IF(B126&lt;&gt;"",IF(AND(B126&gt;=_TM1,B126&lt;=_TM2,OR(TH!L126="1111",TH!M126="1111")),TH!D126,""),"")</f>
        <v/>
      </c>
      <c r="B126" s="36">
        <f t="shared" si="16"/>
        <v>9</v>
      </c>
      <c r="C126" s="183">
        <f t="shared" si="15"/>
        <v>42622</v>
      </c>
      <c r="D126" s="183" t="s">
        <v>556</v>
      </c>
      <c r="E126" s="190">
        <v>42622</v>
      </c>
      <c r="F126" s="188" t="s">
        <v>571</v>
      </c>
      <c r="G126" s="479" t="s">
        <v>561</v>
      </c>
      <c r="H126" s="7" t="s">
        <v>424</v>
      </c>
      <c r="I126" s="255"/>
      <c r="J126" s="255"/>
      <c r="K126" s="597">
        <v>34100000</v>
      </c>
      <c r="L126" s="598" t="s">
        <v>24</v>
      </c>
      <c r="M126" s="598" t="s">
        <v>259</v>
      </c>
      <c r="N126" s="51" t="str">
        <f>IF(AND('331-CT'!$E$7=TH!H126,OR(L126="331",M126="331")),"331",IF(AND(OR(L126="131",M126="131"),H126='131-CT'!$E$7),"131",""))</f>
        <v/>
      </c>
      <c r="O126" s="891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>x</v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/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23"/>
    </row>
    <row r="127" spans="1:31" s="589" customFormat="1" ht="15.75" hidden="1" customHeight="1">
      <c r="A127" s="203" t="str">
        <f>IF(B127&lt;&gt;"",IF(AND(B127&gt;=_TM1,B127&lt;=_TM2,OR(TH!L127="1111",TH!M127="1111")),TH!D127,""),"")</f>
        <v/>
      </c>
      <c r="B127" s="36">
        <f t="shared" si="16"/>
        <v>9</v>
      </c>
      <c r="C127" s="183">
        <f t="shared" si="15"/>
        <v>42622</v>
      </c>
      <c r="D127" s="183" t="s">
        <v>556</v>
      </c>
      <c r="E127" s="190">
        <v>42622</v>
      </c>
      <c r="F127" s="188" t="s">
        <v>558</v>
      </c>
      <c r="G127" s="479" t="s">
        <v>561</v>
      </c>
      <c r="H127" s="7" t="s">
        <v>562</v>
      </c>
      <c r="I127" s="255"/>
      <c r="J127" s="255"/>
      <c r="K127" s="37">
        <v>5200000</v>
      </c>
      <c r="L127" s="193" t="s">
        <v>24</v>
      </c>
      <c r="M127" s="193" t="s">
        <v>47</v>
      </c>
      <c r="N127" s="51" t="str">
        <f>IF(AND('331-CT'!$E$7=TH!H127,OR(L127="331",M127="331")),"331",IF(AND(OR(L127="131",M127="131"),H127='131-CT'!$E$7),"131",""))</f>
        <v/>
      </c>
      <c r="O127" s="891" t="str">
        <f>IF(AND('341-CT'!$E$9=H127,OR(LEFT(L127,3)=$O$7,LEFT(M127,3)=$O$7)),"x","")</f>
        <v/>
      </c>
      <c r="P127" s="51" t="str">
        <f>IF(AND($B127&gt;='111'!$N$11,$B127&lt;='111'!$O$11,OR($L127=$P$7,$M127=$P$7)),"x","")</f>
        <v>x</v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>x</v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/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/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23"/>
    </row>
    <row r="128" spans="1:31" s="589" customFormat="1" ht="15.75" hidden="1" customHeight="1">
      <c r="A128" s="203" t="str">
        <f>IF(B128&lt;&gt;"",IF(AND(B128&gt;=_TM1,B128&lt;=_TM2,OR(TH!L128="1111",TH!M128="1111")),TH!D128,""),"")</f>
        <v/>
      </c>
      <c r="B128" s="36">
        <f t="shared" si="16"/>
        <v>9</v>
      </c>
      <c r="C128" s="183">
        <f t="shared" si="15"/>
        <v>42622</v>
      </c>
      <c r="D128" s="183" t="s">
        <v>557</v>
      </c>
      <c r="E128" s="190">
        <v>42622</v>
      </c>
      <c r="F128" s="188" t="s">
        <v>552</v>
      </c>
      <c r="G128" s="479" t="s">
        <v>561</v>
      </c>
      <c r="H128" s="7" t="s">
        <v>484</v>
      </c>
      <c r="I128" s="255"/>
      <c r="J128" s="255"/>
      <c r="K128" s="597">
        <v>40000000</v>
      </c>
      <c r="L128" s="193" t="s">
        <v>8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91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>x</v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/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23"/>
    </row>
    <row r="129" spans="1:31" s="589" customFormat="1" ht="15.75" hidden="1" customHeight="1">
      <c r="A129" s="203" t="str">
        <f>IF(B129&lt;&gt;"",IF(AND(B129&gt;=_TM1,B129&lt;=_TM2,OR(TH!L129="1111",TH!M129="1111")),TH!D129,""),"")</f>
        <v/>
      </c>
      <c r="B129" s="36">
        <f t="shared" si="16"/>
        <v>9</v>
      </c>
      <c r="C129" s="183">
        <f t="shared" si="15"/>
        <v>42622</v>
      </c>
      <c r="D129" s="183" t="s">
        <v>557</v>
      </c>
      <c r="E129" s="190">
        <v>42622</v>
      </c>
      <c r="F129" s="188" t="s">
        <v>567</v>
      </c>
      <c r="G129" s="479" t="s">
        <v>561</v>
      </c>
      <c r="H129" s="7"/>
      <c r="I129" s="255"/>
      <c r="J129" s="255"/>
      <c r="K129" s="597">
        <v>10000</v>
      </c>
      <c r="L129" s="193" t="s">
        <v>83</v>
      </c>
      <c r="M129" s="193" t="s">
        <v>24</v>
      </c>
      <c r="N129" s="51" t="str">
        <f>IF(AND('331-CT'!$E$7=TH!H129,OR(L129="331",M129="331")),"331",IF(AND(OR(L129="131",M129="131"),H129='131-CT'!$E$7),"131",""))</f>
        <v/>
      </c>
      <c r="O129" s="891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>x</v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/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>x</v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23">
        <v>3</v>
      </c>
      <c r="AE129" s="210"/>
    </row>
    <row r="130" spans="1:31" s="589" customFormat="1" ht="15.75" hidden="1" customHeight="1">
      <c r="A130" s="203" t="str">
        <f>IF(B130&lt;&gt;"",IF(AND(B130&gt;=_TM1,B130&lt;=_TM2,OR(TH!L130="1111",TH!M130="1111")),TH!D130,""),"")</f>
        <v/>
      </c>
      <c r="B130" s="36">
        <f t="shared" si="16"/>
        <v>9</v>
      </c>
      <c r="C130" s="183">
        <f t="shared" si="15"/>
        <v>42622</v>
      </c>
      <c r="D130" s="183" t="s">
        <v>557</v>
      </c>
      <c r="E130" s="190">
        <v>42622</v>
      </c>
      <c r="F130" s="188" t="s">
        <v>568</v>
      </c>
      <c r="G130" s="479" t="s">
        <v>561</v>
      </c>
      <c r="H130" s="7"/>
      <c r="I130" s="255"/>
      <c r="J130" s="255"/>
      <c r="K130" s="597">
        <v>1000</v>
      </c>
      <c r="L130" s="193" t="s">
        <v>9</v>
      </c>
      <c r="M130" s="193" t="s">
        <v>24</v>
      </c>
      <c r="N130" s="51" t="str">
        <f>IF(AND('331-CT'!$E$7=TH!H130,OR(L130="331",M130="331")),"331",IF(AND(OR(L130="131",M130="131"),H130='131-CT'!$E$7),"131",""))</f>
        <v/>
      </c>
      <c r="O130" s="891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>x</v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23">
        <v>3</v>
      </c>
      <c r="AE130" s="210"/>
    </row>
    <row r="131" spans="1:31" s="589" customFormat="1" ht="15.75" hidden="1" customHeight="1">
      <c r="A131" s="203" t="str">
        <f>IF(B131&lt;&gt;"",IF(AND(B131&gt;=_TM1,B131&lt;=_TM2,OR(TH!L131="1111",TH!M131="1111")),TH!D131,""),"")</f>
        <v/>
      </c>
      <c r="B131" s="36">
        <f t="shared" si="16"/>
        <v>9</v>
      </c>
      <c r="C131" s="183">
        <f t="shared" si="15"/>
        <v>42625</v>
      </c>
      <c r="D131" s="183" t="s">
        <v>556</v>
      </c>
      <c r="E131" s="190">
        <v>42625</v>
      </c>
      <c r="F131" s="188" t="s">
        <v>571</v>
      </c>
      <c r="G131" s="479" t="s">
        <v>561</v>
      </c>
      <c r="H131" s="7" t="s">
        <v>429</v>
      </c>
      <c r="I131" s="255"/>
      <c r="J131" s="255"/>
      <c r="K131" s="597">
        <v>25773000</v>
      </c>
      <c r="L131" s="598" t="s">
        <v>24</v>
      </c>
      <c r="M131" s="598" t="s">
        <v>259</v>
      </c>
      <c r="N131" s="51" t="str">
        <f>IF(AND('331-CT'!$E$7=TH!H131,OR(L131="331",M131="331")),"331",IF(AND(OR(L131="131",M131="131"),H131='131-CT'!$E$7),"131",""))</f>
        <v/>
      </c>
      <c r="O131" s="891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>x</v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23"/>
      <c r="AD131" s="210"/>
      <c r="AE131" s="210"/>
    </row>
    <row r="132" spans="1:31" s="589" customFormat="1" ht="15.75" hidden="1" customHeight="1">
      <c r="A132" s="203" t="str">
        <f>IF(B132&lt;&gt;"",IF(AND(B132&gt;=_TM1,B132&lt;=_TM2,OR(TH!L132="1111",TH!M132="1111")),TH!D132,""),"")</f>
        <v/>
      </c>
      <c r="B132" s="36">
        <f t="shared" si="16"/>
        <v>9</v>
      </c>
      <c r="C132" s="183">
        <f t="shared" si="15"/>
        <v>42625</v>
      </c>
      <c r="D132" s="183" t="s">
        <v>557</v>
      </c>
      <c r="E132" s="190">
        <v>42625</v>
      </c>
      <c r="F132" s="188" t="s">
        <v>566</v>
      </c>
      <c r="G132" s="479" t="s">
        <v>561</v>
      </c>
      <c r="H132" s="192" t="s">
        <v>777</v>
      </c>
      <c r="I132" s="255"/>
      <c r="J132" s="255"/>
      <c r="K132" s="37">
        <v>20700000</v>
      </c>
      <c r="L132" s="193" t="s">
        <v>8</v>
      </c>
      <c r="M132" s="193" t="s">
        <v>24</v>
      </c>
      <c r="N132" s="51" t="str">
        <f>IF(AND('331-CT'!$E$7=TH!H132,OR(L132="331",M132="331")),"331",IF(AND(OR(L132="131",M132="131"),H132='131-CT'!$E$7),"131",""))</f>
        <v/>
      </c>
      <c r="O132" s="891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>x</v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23"/>
      <c r="AE132" s="210"/>
    </row>
    <row r="133" spans="1:31" s="589" customFormat="1" ht="15.75" hidden="1" customHeight="1">
      <c r="A133" s="203" t="str">
        <f>IF(B133&lt;&gt;"",IF(AND(B133&gt;=_TM1,B133&lt;=_TM2,OR(TH!L133="1111",TH!M133="1111")),TH!D133,""),"")</f>
        <v/>
      </c>
      <c r="B133" s="36">
        <f t="shared" si="16"/>
        <v>9</v>
      </c>
      <c r="C133" s="183">
        <f t="shared" si="15"/>
        <v>42626</v>
      </c>
      <c r="D133" s="183" t="s">
        <v>557</v>
      </c>
      <c r="E133" s="190">
        <v>42626</v>
      </c>
      <c r="F133" s="188" t="s">
        <v>572</v>
      </c>
      <c r="G133" s="479" t="s">
        <v>561</v>
      </c>
      <c r="H133" s="7" t="s">
        <v>575</v>
      </c>
      <c r="I133" s="255"/>
      <c r="J133" s="255"/>
      <c r="K133" s="597">
        <v>5000000</v>
      </c>
      <c r="L133" s="598" t="s">
        <v>47</v>
      </c>
      <c r="M133" s="598" t="s">
        <v>24</v>
      </c>
      <c r="N133" s="51" t="str">
        <f>IF(AND('331-CT'!$E$7=TH!H133,OR(L133="331",M133="331")),"331",IF(AND(OR(L133="131",M133="131"),H133='131-CT'!$E$7),"131",""))</f>
        <v/>
      </c>
      <c r="O133" s="891" t="str">
        <f>IF(AND('341-CT'!$E$9=H133,OR(LEFT(L133,3)=$O$7,LEFT(M133,3)=$O$7)),"x","")</f>
        <v/>
      </c>
      <c r="P133" s="51" t="str">
        <f>IF(AND($B133&gt;='111'!$N$11,$B133&lt;='111'!$O$11,OR($L133=$P$7,$M133=$P$7)),"x","")</f>
        <v>x</v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>x</v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23"/>
      <c r="AE133" s="210"/>
    </row>
    <row r="134" spans="1:31" s="210" customFormat="1" ht="15.75" hidden="1" customHeight="1">
      <c r="A134" s="203" t="str">
        <f>IF(B134&lt;&gt;"",IF(AND(B134&gt;=_TM1,B134&lt;=_TM2,OR(TH!L134="1111",TH!M134="1111")),TH!D134,""),"")</f>
        <v/>
      </c>
      <c r="B134" s="36">
        <f t="shared" si="16"/>
        <v>9</v>
      </c>
      <c r="C134" s="183">
        <f t="shared" si="15"/>
        <v>42626</v>
      </c>
      <c r="D134" s="183" t="s">
        <v>557</v>
      </c>
      <c r="E134" s="190">
        <v>42626</v>
      </c>
      <c r="F134" s="188" t="s">
        <v>576</v>
      </c>
      <c r="G134" s="479" t="s">
        <v>561</v>
      </c>
      <c r="H134" s="7"/>
      <c r="I134" s="255"/>
      <c r="J134" s="255"/>
      <c r="K134" s="37">
        <v>20000</v>
      </c>
      <c r="L134" s="193" t="s">
        <v>83</v>
      </c>
      <c r="M134" s="193" t="s">
        <v>24</v>
      </c>
      <c r="N134" s="51" t="str">
        <f>IF(AND('331-CT'!$E$7=TH!H134,OR(L134="331",M134="331")),"331",IF(AND(OR(L134="131",M134="131"),H134='131-CT'!$E$7),"131",""))</f>
        <v/>
      </c>
      <c r="O134" s="891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>x</v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>x</v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23">
        <v>3</v>
      </c>
      <c r="AC134" s="589"/>
      <c r="AD134" s="589"/>
    </row>
    <row r="135" spans="1:31" s="210" customFormat="1" ht="15.75" hidden="1" customHeight="1">
      <c r="A135" s="203" t="str">
        <f>IF(B135&lt;&gt;"",IF(AND(B135&gt;=_TM1,B135&lt;=_TM2,OR(TH!L135="1111",TH!M135="1111")),TH!D135,""),"")</f>
        <v/>
      </c>
      <c r="B135" s="36">
        <f t="shared" si="16"/>
        <v>9</v>
      </c>
      <c r="C135" s="183">
        <f t="shared" si="15"/>
        <v>42626</v>
      </c>
      <c r="D135" s="183" t="s">
        <v>557</v>
      </c>
      <c r="E135" s="190">
        <v>42626</v>
      </c>
      <c r="F135" s="188" t="s">
        <v>577</v>
      </c>
      <c r="G135" s="479" t="s">
        <v>561</v>
      </c>
      <c r="H135" s="7"/>
      <c r="I135" s="255"/>
      <c r="J135" s="255"/>
      <c r="K135" s="37">
        <v>2000</v>
      </c>
      <c r="L135" s="193" t="s">
        <v>9</v>
      </c>
      <c r="M135" s="193" t="s">
        <v>24</v>
      </c>
      <c r="N135" s="51" t="str">
        <f>IF(AND('331-CT'!$E$7=TH!H135,OR(L135="331",M135="331")),"331",IF(AND(OR(L135="131",M135="131"),H135='131-CT'!$E$7),"131",""))</f>
        <v/>
      </c>
      <c r="O135" s="891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>x</v>
      </c>
      <c r="T135" s="51" t="str">
        <f>IF(ISERROR(FIND('112'!$M$9,G135,1)),"",IF((AND(LEFT(G135,2)=LEFT('112'!$M$9,2),B135&lt;'112'!$N$8,$L135='112'!$I$6)),"x",""))</f>
        <v/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23">
        <v>3</v>
      </c>
      <c r="AC135" s="589"/>
    </row>
    <row r="136" spans="1:31" s="589" customFormat="1" ht="15.75" hidden="1" customHeight="1">
      <c r="A136" s="203" t="str">
        <f>IF(B136&lt;&gt;"",IF(AND(B136&gt;=_TM1,B136&lt;=_TM2,OR(TH!L136="1111",TH!M136="1111")),TH!D136,""),"")</f>
        <v/>
      </c>
      <c r="B136" s="36">
        <f t="shared" si="16"/>
        <v>9</v>
      </c>
      <c r="C136" s="183">
        <f t="shared" si="15"/>
        <v>42626</v>
      </c>
      <c r="D136" s="183" t="s">
        <v>556</v>
      </c>
      <c r="E136" s="190">
        <v>42626</v>
      </c>
      <c r="F136" s="188" t="s">
        <v>571</v>
      </c>
      <c r="G136" s="479" t="s">
        <v>561</v>
      </c>
      <c r="H136" s="7" t="s">
        <v>428</v>
      </c>
      <c r="I136" s="255"/>
      <c r="J136" s="255"/>
      <c r="K136" s="597">
        <v>11632720</v>
      </c>
      <c r="L136" s="598" t="s">
        <v>24</v>
      </c>
      <c r="M136" s="598" t="s">
        <v>259</v>
      </c>
      <c r="N136" s="51" t="str">
        <f>IF(AND('331-CT'!$E$7=TH!H136,OR(L136="331",M136="331")),"331",IF(AND(OR(L136="131",M136="131"),H136='131-CT'!$E$7),"131",""))</f>
        <v/>
      </c>
      <c r="O136" s="891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>x</v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/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23"/>
      <c r="AE136" s="210"/>
    </row>
    <row r="137" spans="1:31" s="589" customFormat="1" ht="15.75" hidden="1" customHeight="1">
      <c r="A137" s="203" t="str">
        <f>IF(B137&lt;&gt;"",IF(AND(B137&gt;=_TM1,B137&lt;=_TM2,OR(TH!L137="1111",TH!M137="1111")),TH!D137,""),"")</f>
        <v/>
      </c>
      <c r="B137" s="36">
        <f t="shared" si="16"/>
        <v>9</v>
      </c>
      <c r="C137" s="183">
        <f t="shared" si="15"/>
        <v>42627</v>
      </c>
      <c r="D137" s="183" t="s">
        <v>557</v>
      </c>
      <c r="E137" s="190">
        <v>42627</v>
      </c>
      <c r="F137" s="188" t="s">
        <v>572</v>
      </c>
      <c r="G137" s="479" t="s">
        <v>561</v>
      </c>
      <c r="H137" s="7" t="s">
        <v>562</v>
      </c>
      <c r="I137" s="255"/>
      <c r="J137" s="255"/>
      <c r="K137" s="597">
        <v>11600000</v>
      </c>
      <c r="L137" s="598" t="s">
        <v>47</v>
      </c>
      <c r="M137" s="598" t="s">
        <v>24</v>
      </c>
      <c r="N137" s="51" t="str">
        <f>IF(AND('331-CT'!$E$7=TH!H137,OR(L137="331",M137="331")),"331",IF(AND(OR(L137="131",M137="131"),H137='131-CT'!$E$7),"131",""))</f>
        <v/>
      </c>
      <c r="O137" s="891" t="str">
        <f>IF(AND('341-CT'!$E$9=H137,OR(LEFT(L137,3)=$O$7,LEFT(M137,3)=$O$7)),"x","")</f>
        <v/>
      </c>
      <c r="P137" s="51" t="str">
        <f>IF(AND($B137&gt;='111'!$N$11,$B137&lt;='111'!$O$11,OR($L137=$P$7,$M137=$P$7)),"x","")</f>
        <v>x</v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>x</v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/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23"/>
      <c r="AD137" s="210"/>
      <c r="AE137" s="210"/>
    </row>
    <row r="138" spans="1:31" s="589" customFormat="1" ht="15.75" hidden="1" customHeight="1">
      <c r="A138" s="203" t="str">
        <f>IF(B138&lt;&gt;"",IF(AND(B138&gt;=_TM1,B138&lt;=_TM2,OR(TH!L138="1111",TH!M138="1111")),TH!D138,""),"")</f>
        <v/>
      </c>
      <c r="B138" s="36">
        <f t="shared" si="16"/>
        <v>9</v>
      </c>
      <c r="C138" s="183">
        <f t="shared" si="15"/>
        <v>42628</v>
      </c>
      <c r="D138" s="183" t="s">
        <v>557</v>
      </c>
      <c r="E138" s="190">
        <v>42628</v>
      </c>
      <c r="F138" s="188" t="s">
        <v>578</v>
      </c>
      <c r="G138" s="479" t="s">
        <v>561</v>
      </c>
      <c r="H138" s="7"/>
      <c r="I138" s="255"/>
      <c r="J138" s="255"/>
      <c r="K138" s="37">
        <v>30000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91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>x</v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/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23">
        <v>3</v>
      </c>
      <c r="AE138" s="210"/>
    </row>
    <row r="139" spans="1:31" s="589" customFormat="1" ht="15.75" hidden="1" customHeight="1">
      <c r="A139" s="203" t="str">
        <f>IF(B139&lt;&gt;"",IF(AND(B139&gt;=_TM1,B139&lt;=_TM2,OR(TH!L139="1111",TH!M139="1111")),TH!D139,""),"")</f>
        <v/>
      </c>
      <c r="B139" s="36">
        <f t="shared" si="16"/>
        <v>9</v>
      </c>
      <c r="C139" s="183">
        <f t="shared" si="15"/>
        <v>42628</v>
      </c>
      <c r="D139" s="183" t="s">
        <v>557</v>
      </c>
      <c r="E139" s="190">
        <v>42628</v>
      </c>
      <c r="F139" s="188" t="s">
        <v>579</v>
      </c>
      <c r="G139" s="479" t="s">
        <v>561</v>
      </c>
      <c r="H139" s="7"/>
      <c r="I139" s="255"/>
      <c r="J139" s="255"/>
      <c r="K139" s="37">
        <v>3000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91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>x</v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/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23">
        <v>3</v>
      </c>
      <c r="AE139" s="210"/>
    </row>
    <row r="140" spans="1:31" s="210" customFormat="1" ht="15.75" hidden="1" customHeight="1">
      <c r="A140" s="203" t="str">
        <f>IF(B140&lt;&gt;"",IF(AND(B140&gt;=_TM1,B140&lt;=_TM2,OR(TH!L140="1111",TH!M140="1111")),TH!D140,""),"")</f>
        <v/>
      </c>
      <c r="B140" s="36">
        <f t="shared" si="16"/>
        <v>9</v>
      </c>
      <c r="C140" s="183">
        <f t="shared" si="15"/>
        <v>42632</v>
      </c>
      <c r="D140" s="183" t="s">
        <v>556</v>
      </c>
      <c r="E140" s="190">
        <v>42632</v>
      </c>
      <c r="F140" s="188" t="s">
        <v>571</v>
      </c>
      <c r="G140" s="479" t="s">
        <v>561</v>
      </c>
      <c r="H140" s="7" t="s">
        <v>422</v>
      </c>
      <c r="I140" s="255"/>
      <c r="J140" s="255"/>
      <c r="K140" s="597">
        <v>17681180</v>
      </c>
      <c r="L140" s="598" t="s">
        <v>24</v>
      </c>
      <c r="M140" s="598" t="s">
        <v>259</v>
      </c>
      <c r="N140" s="51" t="str">
        <f>IF(AND('331-CT'!$E$7=TH!H140,OR(L140="331",M140="331")),"331",IF(AND(OR(L140="131",M140="131"),H140='131-CT'!$E$7),"131",""))</f>
        <v/>
      </c>
      <c r="O140" s="891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>x</v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23"/>
      <c r="AC140" s="589"/>
      <c r="AD140" s="589"/>
      <c r="AE140" s="589"/>
    </row>
    <row r="141" spans="1:31" s="210" customFormat="1" ht="15.75" hidden="1" customHeight="1">
      <c r="A141" s="203" t="str">
        <f>IF(B141&lt;&gt;"",IF(AND(B141&gt;=_TM1,B141&lt;=_TM2,OR(TH!L141="1111",TH!M141="1111")),TH!D141,""),"")</f>
        <v/>
      </c>
      <c r="B141" s="36">
        <f t="shared" si="16"/>
        <v>9</v>
      </c>
      <c r="C141" s="183">
        <f t="shared" si="15"/>
        <v>42633</v>
      </c>
      <c r="D141" s="183" t="s">
        <v>556</v>
      </c>
      <c r="E141" s="190">
        <v>42633</v>
      </c>
      <c r="F141" s="188" t="s">
        <v>558</v>
      </c>
      <c r="G141" s="479" t="s">
        <v>561</v>
      </c>
      <c r="H141" s="7" t="s">
        <v>562</v>
      </c>
      <c r="I141" s="255"/>
      <c r="J141" s="255"/>
      <c r="K141" s="37">
        <v>2300000</v>
      </c>
      <c r="L141" s="193" t="s">
        <v>24</v>
      </c>
      <c r="M141" s="193" t="s">
        <v>47</v>
      </c>
      <c r="N141" s="51" t="str">
        <f>IF(AND('331-CT'!$E$7=TH!H141,OR(L141="331",M141="331")),"331",IF(AND(OR(L141="131",M141="131"),H141='131-CT'!$E$7),"131",""))</f>
        <v/>
      </c>
      <c r="O141" s="891" t="str">
        <f>IF(AND('341-CT'!$E$9=H141,OR(LEFT(L141,3)=$O$7,LEFT(M141,3)=$O$7)),"x","")</f>
        <v/>
      </c>
      <c r="P141" s="51" t="str">
        <f>IF(AND($B141&gt;='111'!$N$11,$B141&lt;='111'!$O$11,OR($L141=$P$7,$M141=$P$7)),"x","")</f>
        <v>x</v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>x</v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23"/>
      <c r="AC141" s="589"/>
      <c r="AD141" s="589"/>
      <c r="AE141" s="589"/>
    </row>
    <row r="142" spans="1:31" s="210" customFormat="1" ht="15.75" hidden="1" customHeight="1">
      <c r="A142" s="203" t="str">
        <f>IF(B142&lt;&gt;"",IF(AND(B142&gt;=_TM1,B142&lt;=_TM2,OR(TH!L142="1111",TH!M142="1111")),TH!D142,""),"")</f>
        <v/>
      </c>
      <c r="B142" s="36">
        <f t="shared" si="16"/>
        <v>9</v>
      </c>
      <c r="C142" s="183">
        <f t="shared" si="15"/>
        <v>42633</v>
      </c>
      <c r="D142" s="183" t="s">
        <v>557</v>
      </c>
      <c r="E142" s="190">
        <v>42633</v>
      </c>
      <c r="F142" s="188" t="s">
        <v>566</v>
      </c>
      <c r="G142" s="479" t="s">
        <v>561</v>
      </c>
      <c r="H142" s="192" t="s">
        <v>777</v>
      </c>
      <c r="I142" s="255"/>
      <c r="J142" s="255"/>
      <c r="K142" s="37">
        <v>20000000</v>
      </c>
      <c r="L142" s="193" t="s">
        <v>8</v>
      </c>
      <c r="M142" s="193" t="s">
        <v>24</v>
      </c>
      <c r="N142" s="51" t="str">
        <f>IF(AND('331-CT'!$E$7=TH!H142,OR(L142="331",M142="331")),"331",IF(AND(OR(L142="131",M142="131"),H142='131-CT'!$E$7),"131",""))</f>
        <v/>
      </c>
      <c r="O142" s="891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>x</v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23"/>
      <c r="AC142" s="589"/>
    </row>
    <row r="143" spans="1:31" s="210" customFormat="1" ht="15.75" hidden="1" customHeight="1">
      <c r="A143" s="203" t="str">
        <f>IF(B143&lt;&gt;"",IF(AND(B143&gt;=_TM1,B143&lt;=_TM2,OR(TH!L143="1111",TH!M143="1111")),TH!D143,""),"")</f>
        <v/>
      </c>
      <c r="B143" s="36">
        <f t="shared" si="16"/>
        <v>9</v>
      </c>
      <c r="C143" s="183">
        <f t="shared" si="15"/>
        <v>42633</v>
      </c>
      <c r="D143" s="183" t="s">
        <v>557</v>
      </c>
      <c r="E143" s="190">
        <v>42633</v>
      </c>
      <c r="F143" s="188" t="s">
        <v>567</v>
      </c>
      <c r="G143" s="479" t="s">
        <v>561</v>
      </c>
      <c r="H143" s="7"/>
      <c r="I143" s="255"/>
      <c r="J143" s="255"/>
      <c r="K143" s="597">
        <v>20000</v>
      </c>
      <c r="L143" s="193" t="s">
        <v>83</v>
      </c>
      <c r="M143" s="193" t="s">
        <v>24</v>
      </c>
      <c r="N143" s="51" t="str">
        <f>IF(AND('331-CT'!$E$7=TH!H143,OR(L143="331",M143="331")),"331",IF(AND(OR(L143="131",M143="131"),H143='131-CT'!$E$7),"131",""))</f>
        <v/>
      </c>
      <c r="O143" s="891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>x</v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>x</v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23">
        <v>3</v>
      </c>
      <c r="AC143" s="589"/>
      <c r="AD143" s="589"/>
    </row>
    <row r="144" spans="1:31" s="210" customFormat="1" ht="15.75" hidden="1" customHeight="1">
      <c r="A144" s="203" t="str">
        <f>IF(B144&lt;&gt;"",IF(AND(B144&gt;=_TM1,B144&lt;=_TM2,OR(TH!L144="1111",TH!M144="1111")),TH!D144,""),"")</f>
        <v/>
      </c>
      <c r="B144" s="36">
        <f t="shared" si="16"/>
        <v>9</v>
      </c>
      <c r="C144" s="183">
        <f t="shared" si="15"/>
        <v>42633</v>
      </c>
      <c r="D144" s="183" t="s">
        <v>557</v>
      </c>
      <c r="E144" s="190">
        <v>42633</v>
      </c>
      <c r="F144" s="188" t="s">
        <v>568</v>
      </c>
      <c r="G144" s="479" t="s">
        <v>561</v>
      </c>
      <c r="H144" s="7"/>
      <c r="I144" s="255"/>
      <c r="J144" s="255"/>
      <c r="K144" s="597">
        <v>2000</v>
      </c>
      <c r="L144" s="193" t="s">
        <v>9</v>
      </c>
      <c r="M144" s="193" t="s">
        <v>24</v>
      </c>
      <c r="N144" s="51" t="str">
        <f>IF(AND('331-CT'!$E$7=TH!H144,OR(L144="331",M144="331")),"331",IF(AND(OR(L144="131",M144="131"),H144='131-CT'!$E$7),"131",""))</f>
        <v/>
      </c>
      <c r="O144" s="891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>x</v>
      </c>
      <c r="T144" s="51" t="str">
        <f>IF(ISERROR(FIND('112'!$M$9,G144,1)),"",IF((AND(LEFT(G144,2)=LEFT('112'!$M$9,2),B144&lt;'112'!$N$8,$L144='112'!$I$6)),"x",""))</f>
        <v/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23">
        <v>3</v>
      </c>
      <c r="AC144" s="589"/>
    </row>
    <row r="145" spans="1:31" s="210" customFormat="1" ht="15.75" hidden="1" customHeight="1">
      <c r="A145" s="203" t="str">
        <f>IF(B145&lt;&gt;"",IF(AND(B145&gt;=_TM1,B145&lt;=_TM2,OR(TH!L145="1111",TH!M145="1111")),TH!D145,""),"")</f>
        <v/>
      </c>
      <c r="B145" s="36">
        <f t="shared" si="16"/>
        <v>9</v>
      </c>
      <c r="C145" s="183">
        <f t="shared" si="15"/>
        <v>42633</v>
      </c>
      <c r="D145" s="183" t="s">
        <v>557</v>
      </c>
      <c r="E145" s="190">
        <v>42633</v>
      </c>
      <c r="F145" s="188" t="s">
        <v>573</v>
      </c>
      <c r="G145" s="479" t="s">
        <v>561</v>
      </c>
      <c r="H145" s="7"/>
      <c r="I145" s="255"/>
      <c r="J145" s="255"/>
      <c r="K145" s="597">
        <v>20000</v>
      </c>
      <c r="L145" s="193" t="s">
        <v>83</v>
      </c>
      <c r="M145" s="193" t="s">
        <v>24</v>
      </c>
      <c r="N145" s="51" t="str">
        <f>IF(AND('331-CT'!$E$7=TH!H145,OR(L145="331",M145="331")),"331",IF(AND(OR(L145="131",M145="131"),H145='131-CT'!$E$7),"131",""))</f>
        <v/>
      </c>
      <c r="O145" s="891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>x</v>
      </c>
      <c r="T145" s="51" t="str">
        <f>IF(ISERROR(FIND('112'!$M$9,G145,1)),"",IF((AND(LEFT(G145,2)=LEFT('112'!$M$9,2),B145&lt;'112'!$N$8,$L145='112'!$I$6)),"x",""))</f>
        <v/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>x</v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23">
        <v>3</v>
      </c>
      <c r="AC145" s="589"/>
      <c r="AD145" s="589"/>
    </row>
    <row r="146" spans="1:31" s="210" customFormat="1" ht="15.75" hidden="1" customHeight="1">
      <c r="A146" s="203" t="str">
        <f>IF(B146&lt;&gt;"",IF(AND(B146&gt;=_TM1,B146&lt;=_TM2,OR(TH!L146="1111",TH!M146="1111")),TH!D146,""),"")</f>
        <v/>
      </c>
      <c r="B146" s="36">
        <f t="shared" si="16"/>
        <v>9</v>
      </c>
      <c r="C146" s="183">
        <f t="shared" si="15"/>
        <v>42633</v>
      </c>
      <c r="D146" s="183" t="s">
        <v>557</v>
      </c>
      <c r="E146" s="190">
        <v>42633</v>
      </c>
      <c r="F146" s="188" t="s">
        <v>574</v>
      </c>
      <c r="G146" s="479" t="s">
        <v>561</v>
      </c>
      <c r="H146" s="7"/>
      <c r="I146" s="255"/>
      <c r="J146" s="255"/>
      <c r="K146" s="597">
        <v>2000</v>
      </c>
      <c r="L146" s="193" t="s">
        <v>9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91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>x</v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/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23">
        <v>3</v>
      </c>
      <c r="AC146" s="589"/>
      <c r="AD146" s="589"/>
    </row>
    <row r="147" spans="1:31" s="210" customFormat="1" ht="15.75" hidden="1" customHeight="1">
      <c r="A147" s="203" t="str">
        <f>IF(B147&lt;&gt;"",IF(AND(B147&gt;=_TM1,B147&lt;=_TM2,OR(TH!L147="1111",TH!M147="1111")),TH!D147,""),"")</f>
        <v/>
      </c>
      <c r="B147" s="36">
        <f t="shared" si="16"/>
        <v>9</v>
      </c>
      <c r="C147" s="183">
        <f t="shared" si="15"/>
        <v>42635</v>
      </c>
      <c r="D147" s="183" t="s">
        <v>556</v>
      </c>
      <c r="E147" s="190">
        <v>42635</v>
      </c>
      <c r="F147" s="188" t="s">
        <v>558</v>
      </c>
      <c r="G147" s="479" t="s">
        <v>561</v>
      </c>
      <c r="H147" s="7" t="s">
        <v>575</v>
      </c>
      <c r="I147" s="255"/>
      <c r="J147" s="255"/>
      <c r="K147" s="37">
        <v>44000</v>
      </c>
      <c r="L147" s="193" t="s">
        <v>24</v>
      </c>
      <c r="M147" s="193" t="s">
        <v>47</v>
      </c>
      <c r="N147" s="51" t="str">
        <f>IF(AND('331-CT'!$E$7=TH!H147,OR(L147="331",M147="331")),"331",IF(AND(OR(L147="131",M147="131"),H147='131-CT'!$E$7),"131",""))</f>
        <v/>
      </c>
      <c r="O147" s="891" t="str">
        <f>IF(AND('341-CT'!$E$9=H147,OR(LEFT(L147,3)=$O$7,LEFT(M147,3)=$O$7)),"x","")</f>
        <v/>
      </c>
      <c r="P147" s="51" t="str">
        <f>IF(AND($B147&gt;='111'!$N$11,$B147&lt;='111'!$O$11,OR($L147=$P$7,$M147=$P$7)),"x","")</f>
        <v>x</v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>x</v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/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/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23"/>
      <c r="AC147" s="589"/>
      <c r="AD147" s="589"/>
    </row>
    <row r="148" spans="1:31" s="210" customFormat="1" ht="15.75" hidden="1" customHeight="1">
      <c r="A148" s="203" t="str">
        <f>IF(B148&lt;&gt;"",IF(AND(B148&gt;=_TM1,B148&lt;=_TM2,OR(TH!L148="1111",TH!M148="1111")),TH!D148,""),"")</f>
        <v/>
      </c>
      <c r="B148" s="36">
        <f t="shared" si="16"/>
        <v>9</v>
      </c>
      <c r="C148" s="183">
        <f t="shared" si="15"/>
        <v>42635</v>
      </c>
      <c r="D148" s="183" t="s">
        <v>556</v>
      </c>
      <c r="E148" s="190">
        <v>42635</v>
      </c>
      <c r="F148" s="188" t="s">
        <v>558</v>
      </c>
      <c r="G148" s="479" t="s">
        <v>561</v>
      </c>
      <c r="H148" s="7" t="s">
        <v>575</v>
      </c>
      <c r="I148" s="255"/>
      <c r="J148" s="255"/>
      <c r="K148" s="37">
        <v>12295140</v>
      </c>
      <c r="L148" s="193" t="s">
        <v>24</v>
      </c>
      <c r="M148" s="193" t="s">
        <v>47</v>
      </c>
      <c r="N148" s="51" t="str">
        <f>IF(AND('331-CT'!$E$7=TH!H148,OR(L148="331",M148="331")),"331",IF(AND(OR(L148="131",M148="131"),H148='131-CT'!$E$7),"131",""))</f>
        <v/>
      </c>
      <c r="O148" s="891" t="str">
        <f>IF(AND('341-CT'!$E$9=H148,OR(LEFT(L148,3)=$O$7,LEFT(M148,3)=$O$7)),"x","")</f>
        <v/>
      </c>
      <c r="P148" s="51" t="str">
        <f>IF(AND($B148&gt;='111'!$N$11,$B148&lt;='111'!$O$11,OR($L148=$P$7,$M148=$P$7)),"x","")</f>
        <v>x</v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>x</v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/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23"/>
      <c r="AC148" s="589"/>
      <c r="AD148" s="589"/>
    </row>
    <row r="149" spans="1:31" s="210" customFormat="1" ht="15.75" hidden="1" customHeight="1">
      <c r="A149" s="203" t="str">
        <f>IF(B149&lt;&gt;"",IF(AND(B149&gt;=_TM1,B149&lt;=_TM2,OR(TH!L149="1111",TH!M149="1111")),TH!D149,""),"")</f>
        <v/>
      </c>
      <c r="B149" s="36">
        <f t="shared" si="16"/>
        <v>9</v>
      </c>
      <c r="C149" s="183">
        <f t="shared" si="15"/>
        <v>42635</v>
      </c>
      <c r="D149" s="183" t="s">
        <v>557</v>
      </c>
      <c r="E149" s="190">
        <v>42635</v>
      </c>
      <c r="F149" s="188" t="s">
        <v>552</v>
      </c>
      <c r="G149" s="479" t="s">
        <v>561</v>
      </c>
      <c r="H149" s="192" t="s">
        <v>529</v>
      </c>
      <c r="I149" s="255"/>
      <c r="J149" s="255"/>
      <c r="K149" s="597">
        <f>12317140-22000</f>
        <v>12295140</v>
      </c>
      <c r="L149" s="193" t="s">
        <v>8</v>
      </c>
      <c r="M149" s="193" t="s">
        <v>24</v>
      </c>
      <c r="N149" s="51" t="str">
        <f>IF(AND('331-CT'!$E$7=TH!H149,OR(L149="331",M149="331")),"331",IF(AND(OR(L149="131",M149="131"),H149='131-CT'!$E$7),"131",""))</f>
        <v/>
      </c>
      <c r="O149" s="891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>x</v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23"/>
      <c r="AC149" s="589"/>
      <c r="AD149" s="589"/>
    </row>
    <row r="150" spans="1:31" s="210" customFormat="1" ht="15.75" hidden="1" customHeight="1">
      <c r="A150" s="203" t="str">
        <f>IF(B150&lt;&gt;"",IF(AND(B150&gt;=_TM1,B150&lt;=_TM2,OR(TH!L150="1111",TH!M150="1111")),TH!D150,""),"")</f>
        <v/>
      </c>
      <c r="B150" s="36">
        <f t="shared" ref="B150:B151" si="19">IF(C150&lt;&gt;"",MONTH(C150),"")</f>
        <v>9</v>
      </c>
      <c r="C150" s="183">
        <f t="shared" ref="C150:C151" si="20">E150</f>
        <v>42635</v>
      </c>
      <c r="D150" s="183" t="s">
        <v>557</v>
      </c>
      <c r="E150" s="190">
        <v>42635</v>
      </c>
      <c r="F150" s="188" t="s">
        <v>567</v>
      </c>
      <c r="G150" s="479" t="s">
        <v>561</v>
      </c>
      <c r="H150" s="7"/>
      <c r="I150" s="255"/>
      <c r="J150" s="255"/>
      <c r="K150" s="597">
        <v>20000</v>
      </c>
      <c r="L150" s="193" t="s">
        <v>83</v>
      </c>
      <c r="M150" s="193" t="s">
        <v>24</v>
      </c>
      <c r="N150" s="51" t="str">
        <f>IF(AND('331-CT'!$E$7=TH!H150,OR(L150="331",M150="331")),"331",IF(AND(OR(L150="131",M150="131"),H150='131-CT'!$E$7),"131",""))</f>
        <v/>
      </c>
      <c r="O150" s="891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>x</v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>x</v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23">
        <v>3</v>
      </c>
      <c r="AC150" s="589"/>
      <c r="AD150" s="589"/>
    </row>
    <row r="151" spans="1:31" s="210" customFormat="1" ht="15.75" hidden="1" customHeight="1">
      <c r="A151" s="203" t="str">
        <f>IF(B151&lt;&gt;"",IF(AND(B151&gt;=_TM1,B151&lt;=_TM2,OR(TH!L151="1111",TH!M151="1111")),TH!D151,""),"")</f>
        <v/>
      </c>
      <c r="B151" s="36">
        <f t="shared" si="19"/>
        <v>9</v>
      </c>
      <c r="C151" s="183">
        <f t="shared" si="20"/>
        <v>42635</v>
      </c>
      <c r="D151" s="183" t="s">
        <v>557</v>
      </c>
      <c r="E151" s="190">
        <v>42635</v>
      </c>
      <c r="F151" s="188" t="s">
        <v>568</v>
      </c>
      <c r="G151" s="479" t="s">
        <v>561</v>
      </c>
      <c r="H151" s="7"/>
      <c r="I151" s="255"/>
      <c r="J151" s="255"/>
      <c r="K151" s="597">
        <v>2000</v>
      </c>
      <c r="L151" s="193" t="s">
        <v>9</v>
      </c>
      <c r="M151" s="193" t="s">
        <v>24</v>
      </c>
      <c r="N151" s="51" t="str">
        <f>IF(AND('331-CT'!$E$7=TH!H151,OR(L151="331",M151="331")),"331",IF(AND(OR(L151="131",M151="131"),H151='131-CT'!$E$7),"131",""))</f>
        <v/>
      </c>
      <c r="O151" s="891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>x</v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23">
        <v>3</v>
      </c>
      <c r="AC151" s="589"/>
      <c r="AD151" s="589"/>
    </row>
    <row r="152" spans="1:31" s="210" customFormat="1" ht="15.75" hidden="1" customHeight="1">
      <c r="A152" s="203" t="str">
        <f>IF(B152&lt;&gt;"",IF(AND(B152&gt;=_TM1,B152&lt;=_TM2,OR(TH!L152="1111",TH!M152="1111")),TH!D152,""),"")</f>
        <v/>
      </c>
      <c r="B152" s="36">
        <f t="shared" si="16"/>
        <v>9</v>
      </c>
      <c r="C152" s="183">
        <f t="shared" si="15"/>
        <v>42635</v>
      </c>
      <c r="D152" s="183" t="s">
        <v>557</v>
      </c>
      <c r="E152" s="190">
        <v>42635</v>
      </c>
      <c r="F152" s="188" t="s">
        <v>573</v>
      </c>
      <c r="G152" s="479" t="s">
        <v>561</v>
      </c>
      <c r="H152" s="7"/>
      <c r="I152" s="255"/>
      <c r="J152" s="255"/>
      <c r="K152" s="597">
        <v>20000</v>
      </c>
      <c r="L152" s="193" t="s">
        <v>83</v>
      </c>
      <c r="M152" s="193" t="s">
        <v>24</v>
      </c>
      <c r="N152" s="51" t="str">
        <f>IF(AND('331-CT'!$E$7=TH!H152,OR(L152="331",M152="331")),"331",IF(AND(OR(L152="131",M152="131"),H152='131-CT'!$E$7),"131",""))</f>
        <v/>
      </c>
      <c r="O152" s="891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>x</v>
      </c>
      <c r="T152" s="51" t="str">
        <f>IF(ISERROR(FIND('112'!$M$9,G152,1)),"",IF((AND(LEFT(G152,2)=LEFT('112'!$M$9,2),B152&lt;'112'!$N$8,$L152='112'!$I$6)),"x",""))</f>
        <v/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>x</v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23">
        <v>3</v>
      </c>
      <c r="AC152" s="589"/>
      <c r="AD152" s="589"/>
    </row>
    <row r="153" spans="1:31" s="210" customFormat="1" ht="15.75" hidden="1" customHeight="1">
      <c r="A153" s="203" t="str">
        <f>IF(B153&lt;&gt;"",IF(AND(B153&gt;=_TM1,B153&lt;=_TM2,OR(TH!L153="1111",TH!M153="1111")),TH!D153,""),"")</f>
        <v/>
      </c>
      <c r="B153" s="36">
        <f t="shared" si="16"/>
        <v>9</v>
      </c>
      <c r="C153" s="183">
        <f t="shared" si="15"/>
        <v>42635</v>
      </c>
      <c r="D153" s="183" t="s">
        <v>557</v>
      </c>
      <c r="E153" s="190">
        <v>42635</v>
      </c>
      <c r="F153" s="188" t="s">
        <v>574</v>
      </c>
      <c r="G153" s="479" t="s">
        <v>561</v>
      </c>
      <c r="H153" s="7"/>
      <c r="I153" s="255"/>
      <c r="J153" s="255"/>
      <c r="K153" s="597">
        <v>2000</v>
      </c>
      <c r="L153" s="193" t="s">
        <v>9</v>
      </c>
      <c r="M153" s="193" t="s">
        <v>24</v>
      </c>
      <c r="N153" s="51" t="str">
        <f>IF(AND('331-CT'!$E$7=TH!H153,OR(L153="331",M153="331")),"331",IF(AND(OR(L153="131",M153="131"),H153='131-CT'!$E$7),"131",""))</f>
        <v/>
      </c>
      <c r="O153" s="891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>x</v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/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23">
        <v>3</v>
      </c>
      <c r="AC153" s="589"/>
      <c r="AD153" s="589"/>
    </row>
    <row r="154" spans="1:31" s="210" customFormat="1" ht="15.75" hidden="1" customHeight="1">
      <c r="A154" s="203" t="str">
        <f>IF(B154&lt;&gt;"",IF(AND(B154&gt;=_TM1,B154&lt;=_TM2,OR(TH!L154="1111",TH!M154="1111")),TH!D154,""),"")</f>
        <v/>
      </c>
      <c r="B154" s="36">
        <f t="shared" si="16"/>
        <v>9</v>
      </c>
      <c r="C154" s="183">
        <f t="shared" si="15"/>
        <v>42638</v>
      </c>
      <c r="D154" s="183" t="s">
        <v>557</v>
      </c>
      <c r="E154" s="190">
        <v>42638</v>
      </c>
      <c r="F154" s="188" t="s">
        <v>564</v>
      </c>
      <c r="G154" s="479" t="s">
        <v>561</v>
      </c>
      <c r="H154" s="7"/>
      <c r="I154" s="255"/>
      <c r="J154" s="255"/>
      <c r="K154" s="37">
        <v>10000</v>
      </c>
      <c r="L154" s="193" t="s">
        <v>83</v>
      </c>
      <c r="M154" s="193" t="s">
        <v>24</v>
      </c>
      <c r="N154" s="51" t="str">
        <f>IF(AND('331-CT'!$E$7=TH!H154,OR(L154="331",M154="331")),"331",IF(AND(OR(L154="131",M154="131"),H154='131-CT'!$E$7),"131",""))</f>
        <v/>
      </c>
      <c r="O154" s="891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>x</v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/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>x</v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23">
        <v>3</v>
      </c>
      <c r="AC154" s="589"/>
      <c r="AD154" s="589"/>
    </row>
    <row r="155" spans="1:31" s="210" customFormat="1" ht="15.75" hidden="1" customHeight="1">
      <c r="A155" s="203" t="str">
        <f>IF(B155&lt;&gt;"",IF(AND(B155&gt;=_TM1,B155&lt;=_TM2,OR(TH!L155="1111",TH!M155="1111")),TH!D155,""),"")</f>
        <v/>
      </c>
      <c r="B155" s="36">
        <f t="shared" si="16"/>
        <v>9</v>
      </c>
      <c r="C155" s="183">
        <f t="shared" si="15"/>
        <v>42638</v>
      </c>
      <c r="D155" s="183" t="s">
        <v>557</v>
      </c>
      <c r="E155" s="190">
        <v>42638</v>
      </c>
      <c r="F155" s="188" t="s">
        <v>565</v>
      </c>
      <c r="G155" s="479" t="s">
        <v>561</v>
      </c>
      <c r="H155" s="7"/>
      <c r="I155" s="255"/>
      <c r="J155" s="255"/>
      <c r="K155" s="37">
        <v>1000</v>
      </c>
      <c r="L155" s="193" t="s">
        <v>9</v>
      </c>
      <c r="M155" s="193" t="s">
        <v>24</v>
      </c>
      <c r="N155" s="51" t="str">
        <f>IF(AND('331-CT'!$E$7=TH!H155,OR(L155="331",M155="331")),"331",IF(AND(OR(L155="131",M155="131"),H155='131-CT'!$E$7),"131",""))</f>
        <v/>
      </c>
      <c r="O155" s="891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>x</v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/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/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23">
        <v>3</v>
      </c>
      <c r="AC155" s="589"/>
      <c r="AD155" s="589"/>
      <c r="AE155" s="589"/>
    </row>
    <row r="156" spans="1:31" s="210" customFormat="1" ht="15.75" hidden="1" customHeight="1">
      <c r="A156" s="203" t="str">
        <f>IF(B156&lt;&gt;"",IF(AND(B156&gt;=_TM1,B156&lt;=_TM2,OR(TH!L156="1111",TH!M156="1111")),TH!D156,""),"")</f>
        <v/>
      </c>
      <c r="B156" s="36">
        <f t="shared" si="16"/>
        <v>9</v>
      </c>
      <c r="C156" s="183">
        <f t="shared" si="15"/>
        <v>42638</v>
      </c>
      <c r="D156" s="183" t="s">
        <v>556</v>
      </c>
      <c r="E156" s="190">
        <v>42638</v>
      </c>
      <c r="F156" s="188" t="s">
        <v>563</v>
      </c>
      <c r="G156" s="479" t="s">
        <v>561</v>
      </c>
      <c r="H156" s="7"/>
      <c r="I156" s="255"/>
      <c r="J156" s="255"/>
      <c r="K156" s="597">
        <v>2126</v>
      </c>
      <c r="L156" s="193" t="s">
        <v>24</v>
      </c>
      <c r="M156" s="193" t="s">
        <v>40</v>
      </c>
      <c r="N156" s="51" t="str">
        <f>IF(AND('331-CT'!$E$7=TH!H156,OR(L156="331",M156="331")),"331",IF(AND(OR(L156="131",M156="131"),H156='131-CT'!$E$7),"131",""))</f>
        <v/>
      </c>
      <c r="O156" s="891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>x</v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/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23"/>
      <c r="AC156" s="589"/>
      <c r="AD156" s="589"/>
      <c r="AE156" s="589"/>
    </row>
    <row r="157" spans="1:31" s="210" customFormat="1" ht="15.75" hidden="1" customHeight="1">
      <c r="A157" s="203" t="str">
        <f>IF(B157&lt;&gt;"",IF(AND(B157&gt;=_TM1,B157&lt;=_TM2,OR(TH!L157="1111",TH!M157="1111")),TH!D157,""),"")</f>
        <v/>
      </c>
      <c r="B157" s="36">
        <f t="shared" si="16"/>
        <v>9</v>
      </c>
      <c r="C157" s="183">
        <f t="shared" si="15"/>
        <v>42639</v>
      </c>
      <c r="D157" s="183" t="s">
        <v>556</v>
      </c>
      <c r="E157" s="190">
        <v>42639</v>
      </c>
      <c r="F157" s="188" t="s">
        <v>571</v>
      </c>
      <c r="G157" s="479" t="s">
        <v>561</v>
      </c>
      <c r="H157" s="7" t="s">
        <v>428</v>
      </c>
      <c r="I157" s="255"/>
      <c r="J157" s="255"/>
      <c r="K157" s="597">
        <v>22226930</v>
      </c>
      <c r="L157" s="598" t="s">
        <v>24</v>
      </c>
      <c r="M157" s="598" t="s">
        <v>259</v>
      </c>
      <c r="N157" s="51" t="str">
        <f>IF(AND('331-CT'!$E$7=TH!H157,OR(L157="331",M157="331")),"331",IF(AND(OR(L157="131",M157="131"),H157='131-CT'!$E$7),"131",""))</f>
        <v/>
      </c>
      <c r="O157" s="891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>x</v>
      </c>
      <c r="T157" s="51" t="str">
        <f>IF(ISERROR(FIND('112'!$M$9,G157,1)),"",IF((AND(LEFT(G157,2)=LEFT('112'!$M$9,2),B157&lt;'112'!$N$8,$L157='112'!$I$6)),"x",""))</f>
        <v/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23"/>
      <c r="AC157" s="589"/>
      <c r="AD157" s="589"/>
    </row>
    <row r="158" spans="1:31" s="210" customFormat="1" ht="15.75" hidden="1" customHeight="1">
      <c r="A158" s="203" t="str">
        <f>IF(B158&lt;&gt;"",IF(AND(B158&gt;=_TM1,B158&lt;=_TM2,OR(TH!L158="1111",TH!M158="1111")),TH!D158,""),"")</f>
        <v/>
      </c>
      <c r="B158" s="36">
        <f t="shared" si="16"/>
        <v>9</v>
      </c>
      <c r="C158" s="183">
        <f t="shared" si="15"/>
        <v>42639</v>
      </c>
      <c r="D158" s="183" t="s">
        <v>557</v>
      </c>
      <c r="E158" s="190">
        <v>42639</v>
      </c>
      <c r="F158" s="188" t="s">
        <v>572</v>
      </c>
      <c r="G158" s="479" t="s">
        <v>561</v>
      </c>
      <c r="H158" s="7" t="s">
        <v>575</v>
      </c>
      <c r="I158" s="255"/>
      <c r="J158" s="255"/>
      <c r="K158" s="597">
        <v>22000000</v>
      </c>
      <c r="L158" s="598" t="s">
        <v>47</v>
      </c>
      <c r="M158" s="598" t="s">
        <v>24</v>
      </c>
      <c r="N158" s="51" t="str">
        <f>IF(AND('331-CT'!$E$7=TH!H158,OR(L158="331",M158="331")),"331",IF(AND(OR(L158="131",M158="131"),H158='131-CT'!$E$7),"131",""))</f>
        <v/>
      </c>
      <c r="O158" s="891" t="str">
        <f>IF(AND('341-CT'!$E$9=H158,OR(LEFT(L158,3)=$O$7,LEFT(M158,3)=$O$7)),"x","")</f>
        <v/>
      </c>
      <c r="P158" s="51" t="str">
        <f>IF(AND($B158&gt;='111'!$N$11,$B158&lt;='111'!$O$11,OR($L158=$P$7,$M158=$P$7)),"x","")</f>
        <v>x</v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>x</v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/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23"/>
      <c r="AC158" s="589"/>
    </row>
    <row r="159" spans="1:31" s="210" customFormat="1" ht="15.75" hidden="1" customHeight="1">
      <c r="A159" s="203" t="str">
        <f>IF(B159&lt;&gt;"",IF(AND(B159&gt;=_TM1,B159&lt;=_TM2,OR(TH!L159="1111",TH!M159="1111")),TH!D159,""),"")</f>
        <v/>
      </c>
      <c r="B159" s="36">
        <f t="shared" si="16"/>
        <v>9</v>
      </c>
      <c r="C159" s="183">
        <f t="shared" si="15"/>
        <v>42643</v>
      </c>
      <c r="D159" s="183" t="s">
        <v>556</v>
      </c>
      <c r="E159" s="190">
        <v>42643</v>
      </c>
      <c r="F159" s="188" t="s">
        <v>571</v>
      </c>
      <c r="G159" s="479" t="s">
        <v>561</v>
      </c>
      <c r="H159" s="7" t="s">
        <v>428</v>
      </c>
      <c r="I159" s="255"/>
      <c r="J159" s="255"/>
      <c r="K159" s="597">
        <v>19101500</v>
      </c>
      <c r="L159" s="598" t="s">
        <v>24</v>
      </c>
      <c r="M159" s="598" t="s">
        <v>259</v>
      </c>
      <c r="N159" s="51" t="str">
        <f>IF(AND('331-CT'!$E$7=TH!H159,OR(L159="331",M159="331")),"331",IF(AND(OR(L159="131",M159="131"),H159='131-CT'!$E$7),"131",""))</f>
        <v/>
      </c>
      <c r="O159" s="891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>x</v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/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/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23"/>
      <c r="AC159" s="589"/>
      <c r="AD159" s="589"/>
    </row>
    <row r="160" spans="1:31" s="210" customFormat="1" ht="15.75" hidden="1" customHeight="1">
      <c r="A160" s="203" t="str">
        <f>IF(B160&lt;&gt;"",IF(AND(B160&gt;=_TM1,B160&lt;=_TM2,OR(TH!L160="1111",TH!M160="1111")),TH!D160,""),"")</f>
        <v/>
      </c>
      <c r="B160" s="36">
        <f t="shared" si="16"/>
        <v>7</v>
      </c>
      <c r="C160" s="183">
        <f t="shared" si="15"/>
        <v>42566</v>
      </c>
      <c r="D160" s="183" t="s">
        <v>704</v>
      </c>
      <c r="E160" s="190">
        <v>42566</v>
      </c>
      <c r="F160" s="191" t="s">
        <v>581</v>
      </c>
      <c r="G160" s="479" t="s">
        <v>580</v>
      </c>
      <c r="H160" s="44" t="s">
        <v>583</v>
      </c>
      <c r="I160" s="255">
        <v>73</v>
      </c>
      <c r="J160" s="255">
        <v>21849</v>
      </c>
      <c r="K160" s="37">
        <f>ROUND(I160*J160,0)</f>
        <v>1594977</v>
      </c>
      <c r="L160" s="193" t="s">
        <v>259</v>
      </c>
      <c r="M160" s="598" t="s">
        <v>174</v>
      </c>
      <c r="N160" s="51" t="str">
        <f>IF(AND('331-CT'!$E$7=TH!H160,OR(L160="331",M160="331")),"331",IF(AND(OR(L160="131",M160="131"),H160='131-CT'!$E$7),"131",""))</f>
        <v/>
      </c>
      <c r="O160" s="891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/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23"/>
      <c r="AC160" s="589"/>
    </row>
    <row r="161" spans="1:31" s="210" customFormat="1" ht="15.75" hidden="1" customHeight="1">
      <c r="A161" s="203" t="str">
        <f>IF(B161&lt;&gt;"",IF(AND(B161&gt;=_TM1,B161&lt;=_TM2,OR(TH!L161="1111",TH!M161="1111")),TH!D161,""),"")</f>
        <v/>
      </c>
      <c r="B161" s="36">
        <f t="shared" si="16"/>
        <v>7</v>
      </c>
      <c r="C161" s="183">
        <f t="shared" si="15"/>
        <v>42566</v>
      </c>
      <c r="D161" s="183" t="s">
        <v>704</v>
      </c>
      <c r="E161" s="190">
        <v>42566</v>
      </c>
      <c r="F161" s="191" t="s">
        <v>582</v>
      </c>
      <c r="G161" s="479" t="s">
        <v>580</v>
      </c>
      <c r="H161" s="44" t="s">
        <v>583</v>
      </c>
      <c r="I161" s="255"/>
      <c r="J161" s="255"/>
      <c r="K161" s="37">
        <v>159497</v>
      </c>
      <c r="L161" s="193" t="s">
        <v>259</v>
      </c>
      <c r="M161" s="598" t="s">
        <v>370</v>
      </c>
      <c r="N161" s="51" t="str">
        <f>IF(AND('331-CT'!$E$7=TH!H161,OR(L161="331",M161="331")),"331",IF(AND(OR(L161="131",M161="131"),H161='131-CT'!$E$7),"131",""))</f>
        <v/>
      </c>
      <c r="O161" s="891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23"/>
      <c r="AC161" s="589"/>
      <c r="AD161" s="589"/>
    </row>
    <row r="162" spans="1:31" s="210" customFormat="1" ht="15.75" hidden="1" customHeight="1">
      <c r="A162" s="203" t="str">
        <f>IF(B162&lt;&gt;"",IF(AND(B162&gt;=_TM1,B162&lt;=_TM2,OR(TH!L162="1111",TH!M162="1111")),TH!D162,""),"")</f>
        <v/>
      </c>
      <c r="B162" s="36">
        <f t="shared" si="16"/>
        <v>7</v>
      </c>
      <c r="C162" s="183">
        <f t="shared" si="15"/>
        <v>42566</v>
      </c>
      <c r="D162" s="183" t="s">
        <v>704</v>
      </c>
      <c r="E162" s="190">
        <v>42566</v>
      </c>
      <c r="F162" s="191" t="s">
        <v>571</v>
      </c>
      <c r="G162" s="479" t="s">
        <v>580</v>
      </c>
      <c r="H162" s="44" t="s">
        <v>583</v>
      </c>
      <c r="I162" s="255"/>
      <c r="J162" s="255"/>
      <c r="K162" s="37">
        <v>1754444</v>
      </c>
      <c r="L162" s="193" t="s">
        <v>47</v>
      </c>
      <c r="M162" s="598" t="s">
        <v>259</v>
      </c>
      <c r="N162" s="51" t="str">
        <f>IF(AND('331-CT'!$E$7=TH!H162,OR(L162="331",M162="331")),"331",IF(AND(OR(L162="131",M162="131"),H162='131-CT'!$E$7),"131",""))</f>
        <v/>
      </c>
      <c r="O162" s="891" t="str">
        <f>IF(AND('341-CT'!$E$9=H162,OR(LEFT(L162,3)=$O$7,LEFT(M162,3)=$O$7)),"x","")</f>
        <v/>
      </c>
      <c r="P162" s="51" t="str">
        <f>IF(AND($B162&gt;='111'!$N$11,$B162&lt;='111'!$O$11,OR($L162=$P$7,$M162=$P$7)),"x","")</f>
        <v>x</v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23"/>
      <c r="AC162" s="589"/>
      <c r="AD162" s="589"/>
    </row>
    <row r="163" spans="1:31" s="210" customFormat="1" ht="15.75" hidden="1" customHeight="1">
      <c r="A163" s="203" t="str">
        <f>IF(B163&lt;&gt;"",IF(AND(B163&gt;=_TM1,B163&lt;=_TM2,OR(TH!L163="1111",TH!M163="1111")),TH!D163,""),"")</f>
        <v/>
      </c>
      <c r="B163" s="36">
        <f t="shared" si="16"/>
        <v>7</v>
      </c>
      <c r="C163" s="183">
        <f t="shared" si="15"/>
        <v>42566</v>
      </c>
      <c r="D163" s="183" t="s">
        <v>705</v>
      </c>
      <c r="E163" s="190">
        <v>42566</v>
      </c>
      <c r="F163" s="188" t="s">
        <v>587</v>
      </c>
      <c r="G163" s="479" t="s">
        <v>584</v>
      </c>
      <c r="H163" s="7" t="s">
        <v>426</v>
      </c>
      <c r="I163" s="255">
        <v>100</v>
      </c>
      <c r="J163" s="255">
        <v>10000</v>
      </c>
      <c r="K163" s="37">
        <f t="shared" ref="K163:K171" si="21">ROUND(I163*J163,0)</f>
        <v>1000000</v>
      </c>
      <c r="L163" s="193" t="s">
        <v>259</v>
      </c>
      <c r="M163" s="598" t="s">
        <v>174</v>
      </c>
      <c r="N163" s="51" t="str">
        <f>IF(AND('331-CT'!$E$7=TH!H163,OR(L163="331",M163="331")),"331",IF(AND(OR(L163="131",M163="131"),H163='131-CT'!$E$7),"131",""))</f>
        <v/>
      </c>
      <c r="O163" s="891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/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23"/>
      <c r="AC163" s="589"/>
      <c r="AD163" s="589"/>
      <c r="AE163" s="589"/>
    </row>
    <row r="164" spans="1:31" s="210" customFormat="1" ht="15.75" hidden="1" customHeight="1">
      <c r="A164" s="203" t="str">
        <f>IF(B164&lt;&gt;"",IF(AND(B164&gt;=_TM1,B164&lt;=_TM2,OR(TH!L164="1111",TH!M164="1111")),TH!D164,""),"")</f>
        <v/>
      </c>
      <c r="B164" s="36">
        <f t="shared" si="16"/>
        <v>7</v>
      </c>
      <c r="C164" s="183">
        <f t="shared" si="15"/>
        <v>42566</v>
      </c>
      <c r="D164" s="183" t="s">
        <v>705</v>
      </c>
      <c r="E164" s="190">
        <v>42566</v>
      </c>
      <c r="F164" s="188" t="s">
        <v>588</v>
      </c>
      <c r="G164" s="479" t="s">
        <v>584</v>
      </c>
      <c r="H164" s="7" t="s">
        <v>426</v>
      </c>
      <c r="I164" s="255">
        <v>116</v>
      </c>
      <c r="J164" s="255">
        <v>73100</v>
      </c>
      <c r="K164" s="37">
        <f t="shared" si="21"/>
        <v>8479600</v>
      </c>
      <c r="L164" s="193" t="s">
        <v>259</v>
      </c>
      <c r="M164" s="598" t="s">
        <v>174</v>
      </c>
      <c r="N164" s="51" t="str">
        <f>IF(AND('331-CT'!$E$7=TH!H164,OR(L164="331",M164="331")),"331",IF(AND(OR(L164="131",M164="131"),H164='131-CT'!$E$7),"131",""))</f>
        <v/>
      </c>
      <c r="O164" s="891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/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23"/>
      <c r="AC164" s="589"/>
      <c r="AD164" s="589"/>
      <c r="AE164" s="589"/>
    </row>
    <row r="165" spans="1:31" s="210" customFormat="1" ht="15.75" hidden="1" customHeight="1">
      <c r="A165" s="203" t="str">
        <f>IF(B165&lt;&gt;"",IF(AND(B165&gt;=_TM1,B165&lt;=_TM2,OR(TH!L165="1111",TH!M165="1111")),TH!D165,""),"")</f>
        <v/>
      </c>
      <c r="B165" s="36">
        <f t="shared" si="16"/>
        <v>7</v>
      </c>
      <c r="C165" s="183">
        <f t="shared" si="15"/>
        <v>42566</v>
      </c>
      <c r="D165" s="183" t="s">
        <v>705</v>
      </c>
      <c r="E165" s="190">
        <v>42566</v>
      </c>
      <c r="F165" s="188" t="s">
        <v>586</v>
      </c>
      <c r="G165" s="479" t="s">
        <v>584</v>
      </c>
      <c r="H165" s="7" t="s">
        <v>426</v>
      </c>
      <c r="I165" s="255"/>
      <c r="J165" s="255"/>
      <c r="K165" s="37">
        <v>947960</v>
      </c>
      <c r="L165" s="193" t="s">
        <v>259</v>
      </c>
      <c r="M165" s="598" t="s">
        <v>370</v>
      </c>
      <c r="N165" s="51" t="str">
        <f>IF(AND('331-CT'!$E$7=TH!H165,OR(L165="331",M165="331")),"331",IF(AND(OR(L165="131",M165="131"),H165='131-CT'!$E$7),"131",""))</f>
        <v/>
      </c>
      <c r="O165" s="891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/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23"/>
      <c r="AC165" s="589"/>
      <c r="AD165" s="589"/>
      <c r="AE165" s="589"/>
    </row>
    <row r="166" spans="1:31" s="210" customFormat="1" ht="15.75" hidden="1" customHeight="1">
      <c r="A166" s="203" t="str">
        <f>IF(B166&lt;&gt;"",IF(AND(B166&gt;=_TM1,B166&lt;=_TM2,OR(TH!L166="1111",TH!M166="1111")),TH!D166,""),"")</f>
        <v/>
      </c>
      <c r="B166" s="36">
        <f t="shared" si="16"/>
        <v>7</v>
      </c>
      <c r="C166" s="183">
        <f t="shared" ref="C166:C227" si="22">E166</f>
        <v>42566</v>
      </c>
      <c r="D166" s="183" t="s">
        <v>706</v>
      </c>
      <c r="E166" s="190">
        <v>42566</v>
      </c>
      <c r="F166" s="188" t="s">
        <v>590</v>
      </c>
      <c r="G166" s="479" t="s">
        <v>589</v>
      </c>
      <c r="H166" s="7" t="s">
        <v>428</v>
      </c>
      <c r="I166" s="255">
        <v>220</v>
      </c>
      <c r="J166" s="255">
        <v>28000</v>
      </c>
      <c r="K166" s="37">
        <f t="shared" si="21"/>
        <v>6160000</v>
      </c>
      <c r="L166" s="193" t="s">
        <v>259</v>
      </c>
      <c r="M166" s="598" t="s">
        <v>174</v>
      </c>
      <c r="N166" s="51" t="str">
        <f>IF(AND('331-CT'!$E$7=TH!H166,OR(L166="331",M166="331")),"331",IF(AND(OR(L166="131",M166="131"),H166='131-CT'!$E$7),"131",""))</f>
        <v/>
      </c>
      <c r="O166" s="891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/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/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23"/>
      <c r="AC166" s="589"/>
    </row>
    <row r="167" spans="1:31" s="210" customFormat="1" ht="15.75" hidden="1" customHeight="1">
      <c r="A167" s="203" t="str">
        <f>IF(B167&lt;&gt;"",IF(AND(B167&gt;=_TM1,B167&lt;=_TM2,OR(TH!L167="1111",TH!M167="1111")),TH!D167,""),"")</f>
        <v/>
      </c>
      <c r="B167" s="36">
        <f t="shared" si="16"/>
        <v>7</v>
      </c>
      <c r="C167" s="183">
        <f t="shared" si="22"/>
        <v>42566</v>
      </c>
      <c r="D167" s="183" t="s">
        <v>706</v>
      </c>
      <c r="E167" s="190">
        <v>42566</v>
      </c>
      <c r="F167" s="188" t="s">
        <v>591</v>
      </c>
      <c r="G167" s="479" t="s">
        <v>589</v>
      </c>
      <c r="H167" s="7" t="s">
        <v>428</v>
      </c>
      <c r="I167" s="255">
        <v>357</v>
      </c>
      <c r="J167" s="255">
        <v>9600</v>
      </c>
      <c r="K167" s="37">
        <f t="shared" si="21"/>
        <v>3427200</v>
      </c>
      <c r="L167" s="193" t="s">
        <v>259</v>
      </c>
      <c r="M167" s="598" t="s">
        <v>174</v>
      </c>
      <c r="N167" s="51" t="str">
        <f>IF(AND('331-CT'!$E$7=TH!H167,OR(L167="331",M167="331")),"331",IF(AND(OR(L167="131",M167="131"),H167='131-CT'!$E$7),"131",""))</f>
        <v/>
      </c>
      <c r="O167" s="891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/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23"/>
      <c r="AC167" s="589"/>
      <c r="AD167" s="589"/>
    </row>
    <row r="168" spans="1:31" s="210" customFormat="1" ht="15.75" hidden="1" customHeight="1">
      <c r="A168" s="203" t="str">
        <f>IF(B168&lt;&gt;"",IF(AND(B168&gt;=_TM1,B168&lt;=_TM2,OR(TH!L168="1111",TH!M168="1111")),TH!D168,""),"")</f>
        <v/>
      </c>
      <c r="B168" s="36">
        <f t="shared" si="16"/>
        <v>7</v>
      </c>
      <c r="C168" s="183">
        <f t="shared" si="22"/>
        <v>42566</v>
      </c>
      <c r="D168" s="183" t="s">
        <v>706</v>
      </c>
      <c r="E168" s="190">
        <v>42566</v>
      </c>
      <c r="F168" s="188" t="s">
        <v>592</v>
      </c>
      <c r="G168" s="479" t="s">
        <v>589</v>
      </c>
      <c r="H168" s="7" t="s">
        <v>428</v>
      </c>
      <c r="I168" s="255">
        <v>70</v>
      </c>
      <c r="J168" s="255">
        <v>14400</v>
      </c>
      <c r="K168" s="37">
        <f t="shared" si="21"/>
        <v>1008000</v>
      </c>
      <c r="L168" s="193" t="s">
        <v>259</v>
      </c>
      <c r="M168" s="598" t="s">
        <v>174</v>
      </c>
      <c r="N168" s="51" t="str">
        <f>IF(AND('331-CT'!$E$7=TH!H168,OR(L168="331",M168="331")),"331",IF(AND(OR(L168="131",M168="131"),H168='131-CT'!$E$7),"131",""))</f>
        <v/>
      </c>
      <c r="O168" s="891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/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/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23"/>
      <c r="AC168" s="589"/>
    </row>
    <row r="169" spans="1:31" s="210" customFormat="1" ht="15.75" hidden="1" customHeight="1">
      <c r="A169" s="203" t="str">
        <f>IF(B169&lt;&gt;"",IF(AND(B169&gt;=_TM1,B169&lt;=_TM2,OR(TH!L169="1111",TH!M169="1111")),TH!D169,""),"")</f>
        <v/>
      </c>
      <c r="B169" s="36">
        <f t="shared" si="16"/>
        <v>7</v>
      </c>
      <c r="C169" s="183">
        <f t="shared" si="22"/>
        <v>42567</v>
      </c>
      <c r="D169" s="183" t="s">
        <v>706</v>
      </c>
      <c r="E169" s="190">
        <v>42567</v>
      </c>
      <c r="F169" s="188" t="s">
        <v>586</v>
      </c>
      <c r="G169" s="479" t="s">
        <v>589</v>
      </c>
      <c r="H169" s="7" t="s">
        <v>428</v>
      </c>
      <c r="I169" s="255"/>
      <c r="J169" s="255"/>
      <c r="K169" s="37">
        <v>1059520</v>
      </c>
      <c r="L169" s="193" t="s">
        <v>259</v>
      </c>
      <c r="M169" s="598" t="s">
        <v>370</v>
      </c>
      <c r="N169" s="51" t="str">
        <f>IF(AND('331-CT'!$E$7=TH!H169,OR(L169="331",M169="331")),"331",IF(AND(OR(L169="131",M169="131"),H169='131-CT'!$E$7),"131",""))</f>
        <v/>
      </c>
      <c r="O169" s="891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/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23"/>
      <c r="AC169" s="589"/>
      <c r="AD169" s="589"/>
    </row>
    <row r="170" spans="1:31" s="210" customFormat="1" ht="15.75" hidden="1" customHeight="1">
      <c r="A170" s="203" t="str">
        <f>IF(B170&lt;&gt;"",IF(AND(B170&gt;=_TM1,B170&lt;=_TM2,OR(TH!L170="1111",TH!M170="1111")),TH!D170,""),"")</f>
        <v/>
      </c>
      <c r="B170" s="36">
        <f t="shared" si="16"/>
        <v>7</v>
      </c>
      <c r="C170" s="183">
        <f t="shared" si="22"/>
        <v>42567</v>
      </c>
      <c r="D170" s="183" t="s">
        <v>707</v>
      </c>
      <c r="E170" s="190">
        <v>42567</v>
      </c>
      <c r="F170" s="188" t="s">
        <v>594</v>
      </c>
      <c r="G170" s="479" t="s">
        <v>593</v>
      </c>
      <c r="H170" s="7" t="s">
        <v>424</v>
      </c>
      <c r="I170" s="255">
        <v>300</v>
      </c>
      <c r="J170" s="255">
        <v>13400</v>
      </c>
      <c r="K170" s="37">
        <f t="shared" si="21"/>
        <v>4020000</v>
      </c>
      <c r="L170" s="193" t="s">
        <v>259</v>
      </c>
      <c r="M170" s="598" t="s">
        <v>174</v>
      </c>
      <c r="N170" s="51" t="str">
        <f>IF(AND('331-CT'!$E$7=TH!H170,OR(L170="331",M170="331")),"331",IF(AND(OR(L170="131",M170="131"),H170='131-CT'!$E$7),"131",""))</f>
        <v/>
      </c>
      <c r="O170" s="891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23"/>
      <c r="AC170" s="589"/>
      <c r="AD170" s="589"/>
    </row>
    <row r="171" spans="1:31" s="210" customFormat="1" ht="15.75" hidden="1" customHeight="1">
      <c r="A171" s="203" t="str">
        <f>IF(B171&lt;&gt;"",IF(AND(B171&gt;=_TM1,B171&lt;=_TM2,OR(TH!L171="1111",TH!M171="1111")),TH!D171,""),"")</f>
        <v/>
      </c>
      <c r="B171" s="36">
        <f t="shared" si="16"/>
        <v>7</v>
      </c>
      <c r="C171" s="183">
        <f t="shared" si="22"/>
        <v>42567</v>
      </c>
      <c r="D171" s="183" t="s">
        <v>707</v>
      </c>
      <c r="E171" s="190">
        <v>42567</v>
      </c>
      <c r="F171" s="188" t="s">
        <v>594</v>
      </c>
      <c r="G171" s="479" t="s">
        <v>593</v>
      </c>
      <c r="H171" s="7" t="s">
        <v>424</v>
      </c>
      <c r="I171" s="255">
        <v>500</v>
      </c>
      <c r="J171" s="255">
        <v>13800</v>
      </c>
      <c r="K171" s="37">
        <f t="shared" si="21"/>
        <v>6900000</v>
      </c>
      <c r="L171" s="193" t="s">
        <v>259</v>
      </c>
      <c r="M171" s="598" t="s">
        <v>174</v>
      </c>
      <c r="N171" s="51" t="str">
        <f>IF(AND('331-CT'!$E$7=TH!H171,OR(L171="331",M171="331")),"331",IF(AND(OR(L171="131",M171="131"),H171='131-CT'!$E$7),"131",""))</f>
        <v/>
      </c>
      <c r="O171" s="891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23"/>
      <c r="AC171" s="589"/>
    </row>
    <row r="172" spans="1:31" s="210" customFormat="1" ht="15.75" hidden="1" customHeight="1">
      <c r="A172" s="203" t="str">
        <f>IF(B172&lt;&gt;"",IF(AND(B172&gt;=_TM1,B172&lt;=_TM2,OR(TH!L172="1111",TH!M172="1111")),TH!D172,""),"")</f>
        <v/>
      </c>
      <c r="B172" s="36">
        <f t="shared" si="16"/>
        <v>7</v>
      </c>
      <c r="C172" s="183">
        <f t="shared" si="22"/>
        <v>42567</v>
      </c>
      <c r="D172" s="183" t="s">
        <v>707</v>
      </c>
      <c r="E172" s="190">
        <v>42567</v>
      </c>
      <c r="F172" s="188" t="s">
        <v>440</v>
      </c>
      <c r="G172" s="479" t="s">
        <v>593</v>
      </c>
      <c r="H172" s="7" t="s">
        <v>424</v>
      </c>
      <c r="I172" s="255">
        <v>1600</v>
      </c>
      <c r="J172" s="255">
        <v>1300</v>
      </c>
      <c r="K172" s="37">
        <f t="shared" ref="K172:K181" si="23">ROUND(I172*J172,0)</f>
        <v>2080000</v>
      </c>
      <c r="L172" s="193" t="s">
        <v>259</v>
      </c>
      <c r="M172" s="598" t="s">
        <v>174</v>
      </c>
      <c r="N172" s="51" t="str">
        <f>IF(AND('331-CT'!$E$7=TH!H172,OR(L172="331",M172="331")),"331",IF(AND(OR(L172="131",M172="131"),H172='131-CT'!$E$7),"131",""))</f>
        <v/>
      </c>
      <c r="O172" s="891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23"/>
      <c r="AC172" s="589"/>
      <c r="AD172" s="589"/>
    </row>
    <row r="173" spans="1:31" s="210" customFormat="1" ht="15.75" hidden="1" customHeight="1">
      <c r="A173" s="203" t="str">
        <f>IF(B173&lt;&gt;"",IF(AND(B173&gt;=_TM1,B173&lt;=_TM2,OR(TH!L173="1111",TH!M173="1111")),TH!D173,""),"")</f>
        <v/>
      </c>
      <c r="B173" s="36">
        <f t="shared" si="16"/>
        <v>7</v>
      </c>
      <c r="C173" s="183">
        <f t="shared" si="22"/>
        <v>42567</v>
      </c>
      <c r="D173" s="183" t="s">
        <v>707</v>
      </c>
      <c r="E173" s="190">
        <v>42567</v>
      </c>
      <c r="F173" s="188" t="s">
        <v>586</v>
      </c>
      <c r="G173" s="479" t="s">
        <v>593</v>
      </c>
      <c r="H173" s="7" t="s">
        <v>424</v>
      </c>
      <c r="I173" s="255"/>
      <c r="J173" s="255"/>
      <c r="K173" s="37">
        <v>1300000</v>
      </c>
      <c r="L173" s="193" t="s">
        <v>259</v>
      </c>
      <c r="M173" s="598" t="s">
        <v>370</v>
      </c>
      <c r="N173" s="51" t="str">
        <f>IF(AND('331-CT'!$E$7=TH!H173,OR(L173="331",M173="331")),"331",IF(AND(OR(L173="131",M173="131"),H173='131-CT'!$E$7),"131",""))</f>
        <v/>
      </c>
      <c r="O173" s="891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/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24"/>
      <c r="AC173" s="589"/>
      <c r="AD173" s="589"/>
    </row>
    <row r="174" spans="1:31" s="210" customFormat="1" ht="15.75" hidden="1" customHeight="1">
      <c r="A174" s="203" t="str">
        <f>IF(B174&lt;&gt;"",IF(AND(B174&gt;=_TM1,B174&lt;=_TM2,OR(TH!L174="1111",TH!M174="1111")),TH!D174,""),"")</f>
        <v/>
      </c>
      <c r="B174" s="36">
        <f t="shared" si="16"/>
        <v>7</v>
      </c>
      <c r="C174" s="183">
        <f t="shared" si="22"/>
        <v>42567</v>
      </c>
      <c r="D174" s="183" t="s">
        <v>708</v>
      </c>
      <c r="E174" s="190">
        <v>42567</v>
      </c>
      <c r="F174" s="188" t="s">
        <v>596</v>
      </c>
      <c r="G174" s="479" t="s">
        <v>595</v>
      </c>
      <c r="H174" s="7" t="s">
        <v>425</v>
      </c>
      <c r="I174" s="255">
        <v>1005</v>
      </c>
      <c r="J174" s="255">
        <v>11000</v>
      </c>
      <c r="K174" s="37">
        <f t="shared" si="23"/>
        <v>11055000</v>
      </c>
      <c r="L174" s="193" t="s">
        <v>259</v>
      </c>
      <c r="M174" s="598" t="s">
        <v>174</v>
      </c>
      <c r="N174" s="51" t="str">
        <f>IF(AND('331-CT'!$E$7=TH!H174,OR(L174="331",M174="331")),"331",IF(AND(OR(L174="131",M174="131"),H174='131-CT'!$E$7),"131",""))</f>
        <v/>
      </c>
      <c r="O174" s="891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/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24"/>
      <c r="AC174" s="589"/>
    </row>
    <row r="175" spans="1:31" s="210" customFormat="1" ht="15.75" hidden="1" customHeight="1">
      <c r="A175" s="203" t="str">
        <f>IF(B175&lt;&gt;"",IF(AND(B175&gt;=_TM1,B175&lt;=_TM2,OR(TH!L175="1111",TH!M175="1111")),TH!D175,""),"")</f>
        <v/>
      </c>
      <c r="B175" s="36">
        <f t="shared" si="16"/>
        <v>7</v>
      </c>
      <c r="C175" s="183">
        <f t="shared" si="22"/>
        <v>42567</v>
      </c>
      <c r="D175" s="183" t="s">
        <v>708</v>
      </c>
      <c r="E175" s="190">
        <v>42567</v>
      </c>
      <c r="F175" s="188" t="s">
        <v>586</v>
      </c>
      <c r="G175" s="479" t="s">
        <v>595</v>
      </c>
      <c r="H175" s="7" t="s">
        <v>425</v>
      </c>
      <c r="I175" s="255"/>
      <c r="J175" s="255"/>
      <c r="K175" s="37">
        <v>1105500</v>
      </c>
      <c r="L175" s="193" t="s">
        <v>259</v>
      </c>
      <c r="M175" s="598" t="s">
        <v>370</v>
      </c>
      <c r="N175" s="51" t="str">
        <f>IF(AND('331-CT'!$E$7=TH!H175,OR(L175="331",M175="331")),"331",IF(AND(OR(L175="131",M175="131"),H175='131-CT'!$E$7),"131",""))</f>
        <v/>
      </c>
      <c r="O175" s="891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/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24"/>
      <c r="AC175" s="589"/>
      <c r="AD175" s="589"/>
    </row>
    <row r="176" spans="1:31" s="210" customFormat="1" ht="15.75" hidden="1" customHeight="1">
      <c r="A176" s="203" t="str">
        <f>IF(B176&lt;&gt;"",IF(AND(B176&gt;=_TM1,B176&lt;=_TM2,OR(TH!L176="1111",TH!M176="1111")),TH!D176,""),"")</f>
        <v/>
      </c>
      <c r="B176" s="36">
        <f t="shared" si="16"/>
        <v>7</v>
      </c>
      <c r="C176" s="183">
        <f t="shared" si="22"/>
        <v>42569</v>
      </c>
      <c r="D176" s="183" t="s">
        <v>709</v>
      </c>
      <c r="E176" s="190">
        <v>42569</v>
      </c>
      <c r="F176" s="188" t="s">
        <v>598</v>
      </c>
      <c r="G176" s="479" t="s">
        <v>597</v>
      </c>
      <c r="H176" s="7" t="s">
        <v>769</v>
      </c>
      <c r="I176" s="255">
        <v>254</v>
      </c>
      <c r="J176" s="255">
        <v>10300</v>
      </c>
      <c r="K176" s="37">
        <f t="shared" si="23"/>
        <v>2616200</v>
      </c>
      <c r="L176" s="193" t="s">
        <v>259</v>
      </c>
      <c r="M176" s="598" t="s">
        <v>174</v>
      </c>
      <c r="N176" s="51" t="str">
        <f>IF(AND('331-CT'!$E$7=TH!H176,OR(L176="331",M176="331")),"331",IF(AND(OR(L176="131",M176="131"),H176='131-CT'!$E$7),"131",""))</f>
        <v/>
      </c>
      <c r="O176" s="891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/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/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24"/>
      <c r="AC176" s="589"/>
      <c r="AD176" s="589"/>
    </row>
    <row r="177" spans="1:31" s="210" customFormat="1" ht="15.75" hidden="1" customHeight="1">
      <c r="A177" s="203" t="str">
        <f>IF(B177&lt;&gt;"",IF(AND(B177&gt;=_TM1,B177&lt;=_TM2,OR(TH!L177="1111",TH!M177="1111")),TH!D177,""),"")</f>
        <v/>
      </c>
      <c r="B177" s="36">
        <f t="shared" si="16"/>
        <v>7</v>
      </c>
      <c r="C177" s="183">
        <f t="shared" si="22"/>
        <v>42569</v>
      </c>
      <c r="D177" s="183" t="s">
        <v>709</v>
      </c>
      <c r="E177" s="190">
        <v>42569</v>
      </c>
      <c r="F177" s="188" t="s">
        <v>586</v>
      </c>
      <c r="G177" s="479" t="s">
        <v>597</v>
      </c>
      <c r="H177" s="7" t="s">
        <v>769</v>
      </c>
      <c r="I177" s="255"/>
      <c r="J177" s="255"/>
      <c r="K177" s="37">
        <v>261620</v>
      </c>
      <c r="L177" s="193" t="s">
        <v>259</v>
      </c>
      <c r="M177" s="598" t="s">
        <v>370</v>
      </c>
      <c r="N177" s="51" t="str">
        <f>IF(AND('331-CT'!$E$7=TH!H177,OR(L177="331",M177="331")),"331",IF(AND(OR(L177="131",M177="131"),H177='131-CT'!$E$7),"131",""))</f>
        <v/>
      </c>
      <c r="O177" s="891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/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24"/>
      <c r="AC177" s="589"/>
      <c r="AD177" s="589"/>
    </row>
    <row r="178" spans="1:31" s="210" customFormat="1" ht="15.75" hidden="1" customHeight="1">
      <c r="A178" s="203" t="str">
        <f>IF(B178&lt;&gt;"",IF(AND(B178&gt;=_TM1,B178&lt;=_TM2,OR(TH!L178="1111",TH!M178="1111")),TH!D178,""),"")</f>
        <v/>
      </c>
      <c r="B178" s="36">
        <f t="shared" si="16"/>
        <v>7</v>
      </c>
      <c r="C178" s="183">
        <f t="shared" si="22"/>
        <v>42569</v>
      </c>
      <c r="D178" s="183" t="s">
        <v>710</v>
      </c>
      <c r="E178" s="190">
        <v>42569</v>
      </c>
      <c r="F178" s="188" t="s">
        <v>600</v>
      </c>
      <c r="G178" s="479" t="s">
        <v>599</v>
      </c>
      <c r="H178" s="7" t="s">
        <v>769</v>
      </c>
      <c r="I178" s="255">
        <v>75</v>
      </c>
      <c r="J178" s="255">
        <v>10800</v>
      </c>
      <c r="K178" s="37">
        <f t="shared" si="23"/>
        <v>810000</v>
      </c>
      <c r="L178" s="193" t="s">
        <v>259</v>
      </c>
      <c r="M178" s="598" t="s">
        <v>174</v>
      </c>
      <c r="N178" s="51" t="str">
        <f>IF(AND('331-CT'!$E$7=TH!H178,OR(L178="331",M178="331")),"331",IF(AND(OR(L178="131",M178="131"),H178='131-CT'!$E$7),"131",""))</f>
        <v/>
      </c>
      <c r="O178" s="891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/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/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24"/>
      <c r="AC178" s="589"/>
      <c r="AD178" s="589"/>
    </row>
    <row r="179" spans="1:31" s="210" customFormat="1" ht="15.75" hidden="1" customHeight="1">
      <c r="A179" s="203" t="str">
        <f>IF(B179&lt;&gt;"",IF(AND(B179&gt;=_TM1,B179&lt;=_TM2,OR(TH!L179="1111",TH!M179="1111")),TH!D179,""),"")</f>
        <v/>
      </c>
      <c r="B179" s="36">
        <f t="shared" si="16"/>
        <v>7</v>
      </c>
      <c r="C179" s="183">
        <f t="shared" si="22"/>
        <v>42569</v>
      </c>
      <c r="D179" s="183" t="s">
        <v>710</v>
      </c>
      <c r="E179" s="190">
        <v>42569</v>
      </c>
      <c r="F179" s="188" t="s">
        <v>586</v>
      </c>
      <c r="G179" s="479" t="s">
        <v>599</v>
      </c>
      <c r="H179" s="7" t="s">
        <v>769</v>
      </c>
      <c r="I179" s="255"/>
      <c r="J179" s="255"/>
      <c r="K179" s="37">
        <v>81000</v>
      </c>
      <c r="L179" s="193" t="s">
        <v>259</v>
      </c>
      <c r="M179" s="598" t="s">
        <v>370</v>
      </c>
      <c r="N179" s="51" t="str">
        <f>IF(AND('331-CT'!$E$7=TH!H179,OR(L179="331",M179="331")),"331",IF(AND(OR(L179="131",M179="131"),H179='131-CT'!$E$7),"131",""))</f>
        <v/>
      </c>
      <c r="O179" s="891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/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24"/>
      <c r="AC179" s="589"/>
    </row>
    <row r="180" spans="1:31" s="210" customFormat="1" ht="15.75" hidden="1" customHeight="1">
      <c r="A180" s="203" t="str">
        <f>IF(B180&lt;&gt;"",IF(AND(B180&gt;=_TM1,B180&lt;=_TM2,OR(TH!L180="1111",TH!M180="1111")),TH!D180,""),"")</f>
        <v/>
      </c>
      <c r="B180" s="36">
        <f t="shared" si="16"/>
        <v>7</v>
      </c>
      <c r="C180" s="183">
        <f t="shared" si="22"/>
        <v>42571</v>
      </c>
      <c r="D180" s="183" t="s">
        <v>711</v>
      </c>
      <c r="E180" s="190">
        <v>42571</v>
      </c>
      <c r="F180" s="188" t="s">
        <v>604</v>
      </c>
      <c r="G180" s="479" t="s">
        <v>602</v>
      </c>
      <c r="H180" s="7" t="s">
        <v>601</v>
      </c>
      <c r="I180" s="255">
        <v>500</v>
      </c>
      <c r="J180" s="255">
        <v>3200</v>
      </c>
      <c r="K180" s="37">
        <f t="shared" si="23"/>
        <v>1600000</v>
      </c>
      <c r="L180" s="193" t="s">
        <v>259</v>
      </c>
      <c r="M180" s="598" t="s">
        <v>174</v>
      </c>
      <c r="N180" s="51" t="str">
        <f>IF(AND('331-CT'!$E$7=TH!H180,OR(L180="331",M180="331")),"331",IF(AND(OR(L180="131",M180="131"),H180='131-CT'!$E$7),"131",""))</f>
        <v/>
      </c>
      <c r="O180" s="891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24"/>
      <c r="AC180" s="589"/>
      <c r="AD180" s="589"/>
    </row>
    <row r="181" spans="1:31" s="210" customFormat="1" ht="15.75" hidden="1" customHeight="1">
      <c r="A181" s="203" t="str">
        <f>IF(B181&lt;&gt;"",IF(AND(B181&gt;=_TM1,B181&lt;=_TM2,OR(TH!L181="1111",TH!M181="1111")),TH!D181,""),"")</f>
        <v/>
      </c>
      <c r="B181" s="36">
        <f t="shared" si="16"/>
        <v>7</v>
      </c>
      <c r="C181" s="183">
        <f t="shared" si="22"/>
        <v>42571</v>
      </c>
      <c r="D181" s="183" t="s">
        <v>711</v>
      </c>
      <c r="E181" s="190">
        <v>42571</v>
      </c>
      <c r="F181" s="188" t="s">
        <v>605</v>
      </c>
      <c r="G181" s="479" t="s">
        <v>602</v>
      </c>
      <c r="H181" s="7" t="s">
        <v>601</v>
      </c>
      <c r="I181" s="255">
        <v>300</v>
      </c>
      <c r="J181" s="255">
        <v>2200</v>
      </c>
      <c r="K181" s="37">
        <f t="shared" si="23"/>
        <v>660000</v>
      </c>
      <c r="L181" s="193" t="s">
        <v>259</v>
      </c>
      <c r="M181" s="598" t="s">
        <v>174</v>
      </c>
      <c r="N181" s="51" t="str">
        <f>IF(AND('331-CT'!$E$7=TH!H181,OR(L181="331",M181="331")),"331",IF(AND(OR(L181="131",M181="131"),H181='131-CT'!$E$7),"131",""))</f>
        <v/>
      </c>
      <c r="O181" s="891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24"/>
      <c r="AC181" s="589"/>
    </row>
    <row r="182" spans="1:31" s="210" customFormat="1" ht="15.75" hidden="1" customHeight="1">
      <c r="A182" s="203" t="str">
        <f>IF(B182&lt;&gt;"",IF(AND(B182&gt;=_TM1,B182&lt;=_TM2,OR(TH!L182="1111",TH!M182="1111")),TH!D182,""),"")</f>
        <v/>
      </c>
      <c r="B182" s="36">
        <f t="shared" si="16"/>
        <v>7</v>
      </c>
      <c r="C182" s="183">
        <f t="shared" si="22"/>
        <v>42571</v>
      </c>
      <c r="D182" s="183" t="s">
        <v>711</v>
      </c>
      <c r="E182" s="190">
        <v>42571</v>
      </c>
      <c r="F182" s="188" t="s">
        <v>603</v>
      </c>
      <c r="G182" s="479" t="s">
        <v>602</v>
      </c>
      <c r="H182" s="7" t="s">
        <v>601</v>
      </c>
      <c r="I182" s="255"/>
      <c r="J182" s="255"/>
      <c r="K182" s="37">
        <v>226000</v>
      </c>
      <c r="L182" s="193" t="s">
        <v>259</v>
      </c>
      <c r="M182" s="598" t="s">
        <v>370</v>
      </c>
      <c r="N182" s="51" t="str">
        <f>IF(AND('331-CT'!$E$7=TH!H182,OR(L182="331",M182="331")),"331",IF(AND(OR(L182="131",M182="131"),H182='131-CT'!$E$7),"131",""))</f>
        <v/>
      </c>
      <c r="O182" s="891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/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/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24"/>
      <c r="AC182" s="589"/>
      <c r="AD182" s="589"/>
    </row>
    <row r="183" spans="1:31" s="210" customFormat="1" ht="15.75" hidden="1" customHeight="1">
      <c r="A183" s="203" t="str">
        <f>IF(B183&lt;&gt;"",IF(AND(B183&gt;=_TM1,B183&lt;=_TM2,OR(TH!L183="1111",TH!M183="1111")),TH!D183,""),"")</f>
        <v/>
      </c>
      <c r="B183" s="36">
        <f t="shared" ref="B183:B245" si="24">IF(C183&lt;&gt;"",MONTH(C183),"")</f>
        <v>7</v>
      </c>
      <c r="C183" s="183">
        <f t="shared" si="22"/>
        <v>42571</v>
      </c>
      <c r="D183" s="183" t="s">
        <v>712</v>
      </c>
      <c r="E183" s="190">
        <v>42571</v>
      </c>
      <c r="F183" s="188" t="s">
        <v>608</v>
      </c>
      <c r="G183" s="479" t="s">
        <v>606</v>
      </c>
      <c r="H183" s="7" t="s">
        <v>771</v>
      </c>
      <c r="I183" s="255">
        <v>1559</v>
      </c>
      <c r="J183" s="255">
        <v>5900</v>
      </c>
      <c r="K183" s="37">
        <f t="shared" ref="K183:K210" si="25">ROUND(I183*J183,0)</f>
        <v>9198100</v>
      </c>
      <c r="L183" s="193" t="s">
        <v>259</v>
      </c>
      <c r="M183" s="598" t="s">
        <v>174</v>
      </c>
      <c r="N183" s="51" t="str">
        <f>IF(AND('331-CT'!$E$7=TH!H183,OR(L183="331",M183="331")),"331",IF(AND(OR(L183="131",M183="131"),H183='131-CT'!$E$7),"131",""))</f>
        <v/>
      </c>
      <c r="O183" s="891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/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23"/>
      <c r="AC183" s="589"/>
    </row>
    <row r="184" spans="1:31" s="210" customFormat="1" ht="15.75" hidden="1" customHeight="1">
      <c r="A184" s="203" t="str">
        <f>IF(B184&lt;&gt;"",IF(AND(B184&gt;=_TM1,B184&lt;=_TM2,OR(TH!L184="1111",TH!M184="1111")),TH!D184,""),"")</f>
        <v/>
      </c>
      <c r="B184" s="36">
        <f t="shared" si="24"/>
        <v>7</v>
      </c>
      <c r="C184" s="183">
        <f t="shared" si="22"/>
        <v>42571</v>
      </c>
      <c r="D184" s="183" t="s">
        <v>712</v>
      </c>
      <c r="E184" s="190">
        <v>42571</v>
      </c>
      <c r="F184" s="188" t="s">
        <v>586</v>
      </c>
      <c r="G184" s="479" t="s">
        <v>606</v>
      </c>
      <c r="H184" s="7" t="s">
        <v>771</v>
      </c>
      <c r="I184" s="255"/>
      <c r="J184" s="255"/>
      <c r="K184" s="37">
        <v>919810</v>
      </c>
      <c r="L184" s="193" t="s">
        <v>259</v>
      </c>
      <c r="M184" s="598" t="s">
        <v>370</v>
      </c>
      <c r="N184" s="51" t="str">
        <f>IF(AND('331-CT'!$E$7=TH!H184,OR(L184="331",M184="331")),"331",IF(AND(OR(L184="131",M184="131"),H184='131-CT'!$E$7),"131",""))</f>
        <v/>
      </c>
      <c r="O184" s="891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/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24"/>
      <c r="AC184" s="589"/>
      <c r="AD184" s="589"/>
    </row>
    <row r="185" spans="1:31" s="210" customFormat="1" ht="15.75" hidden="1" customHeight="1">
      <c r="A185" s="203" t="str">
        <f>IF(B185&lt;&gt;"",IF(AND(B185&gt;=_TM1,B185&lt;=_TM2,OR(TH!L185="1111",TH!M185="1111")),TH!D185,""),"")</f>
        <v/>
      </c>
      <c r="B185" s="36">
        <f t="shared" si="24"/>
        <v>7</v>
      </c>
      <c r="C185" s="183">
        <f t="shared" si="22"/>
        <v>42572</v>
      </c>
      <c r="D185" s="183" t="s">
        <v>713</v>
      </c>
      <c r="E185" s="190">
        <v>42572</v>
      </c>
      <c r="F185" s="188" t="s">
        <v>610</v>
      </c>
      <c r="G185" s="479" t="s">
        <v>607</v>
      </c>
      <c r="H185" s="7" t="s">
        <v>770</v>
      </c>
      <c r="I185" s="255">
        <v>102</v>
      </c>
      <c r="J185" s="255">
        <v>7900</v>
      </c>
      <c r="K185" s="37">
        <f t="shared" si="25"/>
        <v>805800</v>
      </c>
      <c r="L185" s="193" t="s">
        <v>259</v>
      </c>
      <c r="M185" s="598" t="s">
        <v>174</v>
      </c>
      <c r="N185" s="51" t="str">
        <f>IF(AND('331-CT'!$E$7=TH!H185,OR(L185="331",M185="331")),"331",IF(AND(OR(L185="131",M185="131"),H185='131-CT'!$E$7),"131",""))</f>
        <v/>
      </c>
      <c r="O185" s="891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/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24"/>
      <c r="AC185" s="589"/>
      <c r="AD185" s="589"/>
      <c r="AE185" s="589"/>
    </row>
    <row r="186" spans="1:31" s="210" customFormat="1" ht="15.75" hidden="1" customHeight="1">
      <c r="A186" s="203" t="str">
        <f>IF(B186&lt;&gt;"",IF(AND(B186&gt;=_TM1,B186&lt;=_TM2,OR(TH!L186="1111",TH!M186="1111")),TH!D186,""),"")</f>
        <v/>
      </c>
      <c r="B186" s="36">
        <f t="shared" si="24"/>
        <v>7</v>
      </c>
      <c r="C186" s="183">
        <f t="shared" si="22"/>
        <v>42572</v>
      </c>
      <c r="D186" s="183" t="s">
        <v>713</v>
      </c>
      <c r="E186" s="190">
        <v>42572</v>
      </c>
      <c r="F186" s="188" t="s">
        <v>609</v>
      </c>
      <c r="G186" s="479" t="s">
        <v>607</v>
      </c>
      <c r="H186" s="7" t="s">
        <v>770</v>
      </c>
      <c r="I186" s="255">
        <v>103</v>
      </c>
      <c r="J186" s="255">
        <v>12900</v>
      </c>
      <c r="K186" s="37">
        <f t="shared" si="25"/>
        <v>1328700</v>
      </c>
      <c r="L186" s="193" t="s">
        <v>259</v>
      </c>
      <c r="M186" s="598" t="s">
        <v>174</v>
      </c>
      <c r="N186" s="51" t="str">
        <f>IF(AND('331-CT'!$E$7=TH!H186,OR(L186="331",M186="331")),"331",IF(AND(OR(L186="131",M186="131"),H186='131-CT'!$E$7),"131",""))</f>
        <v/>
      </c>
      <c r="O186" s="891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/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24"/>
      <c r="AC186" s="589"/>
    </row>
    <row r="187" spans="1:31" s="210" customFormat="1" ht="15.75" hidden="1" customHeight="1">
      <c r="A187" s="203" t="str">
        <f>IF(B187&lt;&gt;"",IF(AND(B187&gt;=_TM1,B187&lt;=_TM2,OR(TH!L187="1111",TH!M187="1111")),TH!D187,""),"")</f>
        <v/>
      </c>
      <c r="B187" s="36">
        <f t="shared" si="24"/>
        <v>7</v>
      </c>
      <c r="C187" s="183">
        <f t="shared" si="22"/>
        <v>42572</v>
      </c>
      <c r="D187" s="183" t="s">
        <v>713</v>
      </c>
      <c r="E187" s="190">
        <v>42572</v>
      </c>
      <c r="F187" s="188" t="s">
        <v>586</v>
      </c>
      <c r="G187" s="479" t="s">
        <v>607</v>
      </c>
      <c r="H187" s="7" t="s">
        <v>770</v>
      </c>
      <c r="I187" s="255"/>
      <c r="J187" s="255"/>
      <c r="K187" s="37">
        <v>213450</v>
      </c>
      <c r="L187" s="193" t="s">
        <v>259</v>
      </c>
      <c r="M187" s="598" t="s">
        <v>370</v>
      </c>
      <c r="N187" s="51" t="str">
        <f>IF(AND('331-CT'!$E$7=TH!H187,OR(L187="331",M187="331")),"331",IF(AND(OR(L187="131",M187="131"),H187='131-CT'!$E$7),"131",""))</f>
        <v/>
      </c>
      <c r="O187" s="891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23"/>
      <c r="AC187" s="589"/>
      <c r="AD187" s="589"/>
    </row>
    <row r="188" spans="1:31" s="210" customFormat="1" ht="15.75" hidden="1" customHeight="1">
      <c r="A188" s="203" t="str">
        <f>IF(B188&lt;&gt;"",IF(AND(B188&gt;=_TM1,B188&lt;=_TM2,OR(TH!L188="1111",TH!M188="1111")),TH!D188,""),"")</f>
        <v/>
      </c>
      <c r="B188" s="36">
        <f t="shared" si="24"/>
        <v>7</v>
      </c>
      <c r="C188" s="183">
        <f t="shared" si="22"/>
        <v>42573</v>
      </c>
      <c r="D188" s="183" t="s">
        <v>714</v>
      </c>
      <c r="E188" s="190">
        <v>42573</v>
      </c>
      <c r="F188" s="188" t="s">
        <v>430</v>
      </c>
      <c r="G188" s="479" t="s">
        <v>611</v>
      </c>
      <c r="H188" s="7" t="s">
        <v>429</v>
      </c>
      <c r="I188" s="255">
        <v>250</v>
      </c>
      <c r="J188" s="255">
        <v>12400</v>
      </c>
      <c r="K188" s="37">
        <f t="shared" si="25"/>
        <v>3100000</v>
      </c>
      <c r="L188" s="193" t="s">
        <v>259</v>
      </c>
      <c r="M188" s="598" t="s">
        <v>174</v>
      </c>
      <c r="N188" s="51" t="str">
        <f>IF(AND('331-CT'!$E$7=TH!H188,OR(L188="331",M188="331")),"331",IF(AND(OR(L188="131",M188="131"),H188='131-CT'!$E$7),"131",""))</f>
        <v/>
      </c>
      <c r="O188" s="891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24"/>
      <c r="AC188" s="589"/>
      <c r="AD188" s="589"/>
    </row>
    <row r="189" spans="1:31" s="210" customFormat="1" ht="15.75" hidden="1" customHeight="1">
      <c r="A189" s="203" t="str">
        <f>IF(B189&lt;&gt;"",IF(AND(B189&gt;=_TM1,B189&lt;=_TM2,OR(TH!L189="1111",TH!M189="1111")),TH!D189,""),"")</f>
        <v/>
      </c>
      <c r="B189" s="36">
        <f t="shared" si="24"/>
        <v>7</v>
      </c>
      <c r="C189" s="183">
        <f t="shared" si="22"/>
        <v>42573</v>
      </c>
      <c r="D189" s="183" t="s">
        <v>714</v>
      </c>
      <c r="E189" s="190">
        <v>42573</v>
      </c>
      <c r="F189" s="188" t="s">
        <v>431</v>
      </c>
      <c r="G189" s="479" t="s">
        <v>611</v>
      </c>
      <c r="H189" s="7" t="s">
        <v>429</v>
      </c>
      <c r="I189" s="255">
        <v>200</v>
      </c>
      <c r="J189" s="255">
        <v>14200</v>
      </c>
      <c r="K189" s="37">
        <f t="shared" si="25"/>
        <v>2840000</v>
      </c>
      <c r="L189" s="193" t="s">
        <v>259</v>
      </c>
      <c r="M189" s="598" t="s">
        <v>174</v>
      </c>
      <c r="N189" s="51" t="str">
        <f>IF(AND('331-CT'!$E$7=TH!H189,OR(L189="331",M189="331")),"331",IF(AND(OR(L189="131",M189="131"),H189='131-CT'!$E$7),"131",""))</f>
        <v/>
      </c>
      <c r="O189" s="891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23"/>
      <c r="AC189" s="589"/>
      <c r="AD189" s="589"/>
      <c r="AE189" s="589"/>
    </row>
    <row r="190" spans="1:31" s="210" customFormat="1" ht="15.75" hidden="1" customHeight="1">
      <c r="A190" s="203" t="str">
        <f>IF(B190&lt;&gt;"",IF(AND(B190&gt;=_TM1,B190&lt;=_TM2,OR(TH!L190="1111",TH!M190="1111")),TH!D190,""),"")</f>
        <v/>
      </c>
      <c r="B190" s="36">
        <f t="shared" si="24"/>
        <v>7</v>
      </c>
      <c r="C190" s="183">
        <f t="shared" si="22"/>
        <v>42573</v>
      </c>
      <c r="D190" s="183" t="s">
        <v>714</v>
      </c>
      <c r="E190" s="190">
        <v>42573</v>
      </c>
      <c r="F190" s="188" t="s">
        <v>433</v>
      </c>
      <c r="G190" s="479" t="s">
        <v>611</v>
      </c>
      <c r="H190" s="7" t="s">
        <v>429</v>
      </c>
      <c r="I190" s="255">
        <v>300</v>
      </c>
      <c r="J190" s="255">
        <v>16500</v>
      </c>
      <c r="K190" s="37">
        <f t="shared" si="25"/>
        <v>4950000</v>
      </c>
      <c r="L190" s="193" t="s">
        <v>259</v>
      </c>
      <c r="M190" s="598" t="s">
        <v>174</v>
      </c>
      <c r="N190" s="51" t="str">
        <f>IF(AND('331-CT'!$E$7=TH!H190,OR(L190="331",M190="331")),"331",IF(AND(OR(L190="131",M190="131"),H190='131-CT'!$E$7),"131",""))</f>
        <v/>
      </c>
      <c r="O190" s="891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24"/>
      <c r="AC190" s="589"/>
      <c r="AD190" s="589"/>
    </row>
    <row r="191" spans="1:31" s="210" customFormat="1" ht="15.75" hidden="1" customHeight="1">
      <c r="A191" s="203" t="str">
        <f>IF(B191&lt;&gt;"",IF(AND(B191&gt;=_TM1,B191&lt;=_TM2,OR(TH!L191="1111",TH!M191="1111")),TH!D191,""),"")</f>
        <v/>
      </c>
      <c r="B191" s="36">
        <f t="shared" si="24"/>
        <v>7</v>
      </c>
      <c r="C191" s="183">
        <f t="shared" si="22"/>
        <v>42573</v>
      </c>
      <c r="D191" s="183" t="s">
        <v>714</v>
      </c>
      <c r="E191" s="190">
        <v>42573</v>
      </c>
      <c r="F191" s="188" t="s">
        <v>434</v>
      </c>
      <c r="G191" s="479" t="s">
        <v>611</v>
      </c>
      <c r="H191" s="7" t="s">
        <v>429</v>
      </c>
      <c r="I191" s="255">
        <v>300</v>
      </c>
      <c r="J191" s="255">
        <v>24500</v>
      </c>
      <c r="K191" s="37">
        <f t="shared" si="25"/>
        <v>7350000</v>
      </c>
      <c r="L191" s="193" t="s">
        <v>259</v>
      </c>
      <c r="M191" s="598" t="s">
        <v>174</v>
      </c>
      <c r="N191" s="51" t="str">
        <f>IF(AND('331-CT'!$E$7=TH!H191,OR(L191="331",M191="331")),"331",IF(AND(OR(L191="131",M191="131"),H191='131-CT'!$E$7),"131",""))</f>
        <v/>
      </c>
      <c r="O191" s="891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/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23"/>
      <c r="AC191" s="589"/>
    </row>
    <row r="192" spans="1:31" s="210" customFormat="1" ht="15.75" hidden="1" customHeight="1">
      <c r="A192" s="203" t="str">
        <f>IF(B192&lt;&gt;"",IF(AND(B192&gt;=_TM1,B192&lt;=_TM2,OR(TH!L192="1111",TH!M192="1111")),TH!D192,""),"")</f>
        <v/>
      </c>
      <c r="B192" s="36">
        <f t="shared" si="24"/>
        <v>7</v>
      </c>
      <c r="C192" s="183">
        <f t="shared" si="22"/>
        <v>42573</v>
      </c>
      <c r="D192" s="183" t="s">
        <v>714</v>
      </c>
      <c r="E192" s="190">
        <v>42573</v>
      </c>
      <c r="F192" s="188" t="s">
        <v>435</v>
      </c>
      <c r="G192" s="479" t="s">
        <v>611</v>
      </c>
      <c r="H192" s="7" t="s">
        <v>429</v>
      </c>
      <c r="I192" s="255">
        <v>200</v>
      </c>
      <c r="J192" s="255">
        <v>25500</v>
      </c>
      <c r="K192" s="37">
        <f t="shared" si="25"/>
        <v>5100000</v>
      </c>
      <c r="L192" s="193" t="s">
        <v>259</v>
      </c>
      <c r="M192" s="598" t="s">
        <v>174</v>
      </c>
      <c r="N192" s="51" t="str">
        <f>IF(AND('331-CT'!$E$7=TH!H192,OR(L192="331",M192="331")),"331",IF(AND(OR(L192="131",M192="131"),H192='131-CT'!$E$7),"131",""))</f>
        <v/>
      </c>
      <c r="O192" s="891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24"/>
      <c r="AC192" s="589"/>
      <c r="AD192" s="589"/>
    </row>
    <row r="193" spans="1:31" s="210" customFormat="1" ht="15.75" hidden="1" customHeight="1">
      <c r="A193" s="203" t="str">
        <f>IF(B193&lt;&gt;"",IF(AND(B193&gt;=_TM1,B193&lt;=_TM2,OR(TH!L193="1111",TH!M193="1111")),TH!D193,""),"")</f>
        <v/>
      </c>
      <c r="B193" s="36">
        <f t="shared" si="24"/>
        <v>7</v>
      </c>
      <c r="C193" s="183">
        <f t="shared" si="22"/>
        <v>42573</v>
      </c>
      <c r="D193" s="183" t="s">
        <v>714</v>
      </c>
      <c r="E193" s="190">
        <v>42573</v>
      </c>
      <c r="F193" s="188" t="s">
        <v>586</v>
      </c>
      <c r="G193" s="479" t="s">
        <v>611</v>
      </c>
      <c r="H193" s="7" t="s">
        <v>429</v>
      </c>
      <c r="I193" s="255"/>
      <c r="J193" s="255"/>
      <c r="K193" s="37">
        <v>2334000</v>
      </c>
      <c r="L193" s="193" t="s">
        <v>259</v>
      </c>
      <c r="M193" s="598" t="s">
        <v>370</v>
      </c>
      <c r="N193" s="51" t="str">
        <f>IF(AND('331-CT'!$E$7=TH!H193,OR(L193="331",M193="331")),"331",IF(AND(OR(L193="131",M193="131"),H193='131-CT'!$E$7),"131",""))</f>
        <v/>
      </c>
      <c r="O193" s="891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/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24"/>
      <c r="AC193" s="589"/>
      <c r="AD193" s="589"/>
    </row>
    <row r="194" spans="1:31" s="210" customFormat="1" ht="15.75" hidden="1" customHeight="1">
      <c r="A194" s="203" t="str">
        <f>IF(B194&lt;&gt;"",IF(AND(B194&gt;=_TM1,B194&lt;=_TM2,OR(TH!L194="1111",TH!M194="1111")),TH!D194,""),"")</f>
        <v/>
      </c>
      <c r="B194" s="36">
        <f t="shared" si="24"/>
        <v>7</v>
      </c>
      <c r="C194" s="183">
        <f t="shared" si="22"/>
        <v>42574</v>
      </c>
      <c r="D194" s="183" t="s">
        <v>715</v>
      </c>
      <c r="E194" s="190">
        <v>42574</v>
      </c>
      <c r="F194" s="188" t="s">
        <v>585</v>
      </c>
      <c r="G194" s="479" t="s">
        <v>612</v>
      </c>
      <c r="H194" s="7" t="s">
        <v>428</v>
      </c>
      <c r="I194" s="255">
        <v>530</v>
      </c>
      <c r="J194" s="255">
        <v>17800</v>
      </c>
      <c r="K194" s="37">
        <f t="shared" si="25"/>
        <v>9434000</v>
      </c>
      <c r="L194" s="193" t="s">
        <v>259</v>
      </c>
      <c r="M194" s="598" t="s">
        <v>174</v>
      </c>
      <c r="N194" s="51" t="str">
        <f>IF(AND('331-CT'!$E$7=TH!H194,OR(L194="331",M194="331")),"331",IF(AND(OR(L194="131",M194="131"),H194='131-CT'!$E$7),"131",""))</f>
        <v/>
      </c>
      <c r="O194" s="891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23"/>
      <c r="AC194" s="589"/>
    </row>
    <row r="195" spans="1:31" s="210" customFormat="1" ht="15.75" hidden="1" customHeight="1">
      <c r="A195" s="203" t="str">
        <f>IF(B195&lt;&gt;"",IF(AND(B195&gt;=_TM1,B195&lt;=_TM2,OR(TH!L195="1111",TH!M195="1111")),TH!D195,""),"")</f>
        <v/>
      </c>
      <c r="B195" s="36">
        <f t="shared" si="24"/>
        <v>7</v>
      </c>
      <c r="C195" s="183">
        <f t="shared" si="22"/>
        <v>42574</v>
      </c>
      <c r="D195" s="183" t="s">
        <v>715</v>
      </c>
      <c r="E195" s="190">
        <v>42574</v>
      </c>
      <c r="F195" s="188" t="s">
        <v>591</v>
      </c>
      <c r="G195" s="479" t="s">
        <v>612</v>
      </c>
      <c r="H195" s="7" t="s">
        <v>428</v>
      </c>
      <c r="I195" s="255">
        <v>33</v>
      </c>
      <c r="J195" s="255">
        <v>9600</v>
      </c>
      <c r="K195" s="37">
        <f t="shared" si="25"/>
        <v>316800</v>
      </c>
      <c r="L195" s="193" t="s">
        <v>259</v>
      </c>
      <c r="M195" s="598" t="s">
        <v>174</v>
      </c>
      <c r="N195" s="51" t="str">
        <f>IF(AND('331-CT'!$E$7=TH!H195,OR(L195="331",M195="331")),"331",IF(AND(OR(L195="131",M195="131"),H195='131-CT'!$E$7),"131",""))</f>
        <v/>
      </c>
      <c r="O195" s="891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/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24"/>
      <c r="AC195" s="589"/>
      <c r="AD195" s="589"/>
    </row>
    <row r="196" spans="1:31" s="210" customFormat="1" ht="15.75" hidden="1" customHeight="1">
      <c r="A196" s="203" t="str">
        <f>IF(B196&lt;&gt;"",IF(AND(B196&gt;=_TM1,B196&lt;=_TM2,OR(TH!L196="1111",TH!M196="1111")),TH!D196,""),"")</f>
        <v/>
      </c>
      <c r="B196" s="36">
        <f t="shared" si="24"/>
        <v>7</v>
      </c>
      <c r="C196" s="183">
        <f t="shared" si="22"/>
        <v>42574</v>
      </c>
      <c r="D196" s="183" t="s">
        <v>715</v>
      </c>
      <c r="E196" s="190">
        <v>42574</v>
      </c>
      <c r="F196" s="188" t="s">
        <v>585</v>
      </c>
      <c r="G196" s="479" t="s">
        <v>612</v>
      </c>
      <c r="H196" s="7" t="s">
        <v>428</v>
      </c>
      <c r="I196" s="255">
        <v>630</v>
      </c>
      <c r="J196" s="255">
        <v>9700</v>
      </c>
      <c r="K196" s="37">
        <f t="shared" si="25"/>
        <v>6111000</v>
      </c>
      <c r="L196" s="193" t="s">
        <v>259</v>
      </c>
      <c r="M196" s="598" t="s">
        <v>174</v>
      </c>
      <c r="N196" s="51" t="str">
        <f>IF(AND('331-CT'!$E$7=TH!H196,OR(L196="331",M196="331")),"331",IF(AND(OR(L196="131",M196="131"),H196='131-CT'!$E$7),"131",""))</f>
        <v/>
      </c>
      <c r="O196" s="891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24"/>
      <c r="AC196" s="589"/>
      <c r="AD196" s="589"/>
    </row>
    <row r="197" spans="1:31" s="210" customFormat="1" ht="15.75" hidden="1" customHeight="1">
      <c r="A197" s="203" t="str">
        <f>IF(B197&lt;&gt;"",IF(AND(B197&gt;=_TM1,B197&lt;=_TM2,OR(TH!L197="1111",TH!M197="1111")),TH!D197,""),"")</f>
        <v/>
      </c>
      <c r="B197" s="36">
        <f t="shared" si="24"/>
        <v>7</v>
      </c>
      <c r="C197" s="183">
        <f t="shared" si="22"/>
        <v>42574</v>
      </c>
      <c r="D197" s="183" t="s">
        <v>715</v>
      </c>
      <c r="E197" s="190">
        <v>42574</v>
      </c>
      <c r="F197" s="188" t="s">
        <v>585</v>
      </c>
      <c r="G197" s="479" t="s">
        <v>612</v>
      </c>
      <c r="H197" s="7" t="s">
        <v>428</v>
      </c>
      <c r="I197" s="255">
        <v>352</v>
      </c>
      <c r="J197" s="255">
        <v>13700</v>
      </c>
      <c r="K197" s="37">
        <f t="shared" si="25"/>
        <v>4822400</v>
      </c>
      <c r="L197" s="193" t="s">
        <v>259</v>
      </c>
      <c r="M197" s="598" t="s">
        <v>174</v>
      </c>
      <c r="N197" s="51" t="str">
        <f>IF(AND('331-CT'!$E$7=TH!H197,OR(L197="331",M197="331")),"331",IF(AND(OR(L197="131",M197="131"),H197='131-CT'!$E$7),"131",""))</f>
        <v/>
      </c>
      <c r="O197" s="891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/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24"/>
      <c r="AC197" s="589"/>
      <c r="AD197" s="589"/>
    </row>
    <row r="198" spans="1:31" s="210" customFormat="1" ht="15.75" hidden="1" customHeight="1">
      <c r="A198" s="203" t="str">
        <f>IF(B198&lt;&gt;"",IF(AND(B198&gt;=_TM1,B198&lt;=_TM2,OR(TH!L198="1111",TH!M198="1111")),TH!D198,""),"")</f>
        <v/>
      </c>
      <c r="B198" s="36">
        <f t="shared" si="24"/>
        <v>7</v>
      </c>
      <c r="C198" s="183">
        <f t="shared" si="22"/>
        <v>42574</v>
      </c>
      <c r="D198" s="183" t="s">
        <v>715</v>
      </c>
      <c r="E198" s="190">
        <v>42574</v>
      </c>
      <c r="F198" s="188" t="s">
        <v>586</v>
      </c>
      <c r="G198" s="479" t="s">
        <v>612</v>
      </c>
      <c r="H198" s="7" t="s">
        <v>428</v>
      </c>
      <c r="I198" s="255"/>
      <c r="J198" s="255"/>
      <c r="K198" s="37">
        <v>2068420</v>
      </c>
      <c r="L198" s="193" t="s">
        <v>259</v>
      </c>
      <c r="M198" s="598" t="s">
        <v>370</v>
      </c>
      <c r="N198" s="51" t="str">
        <f>IF(AND('331-CT'!$E$7=TH!H198,OR(L198="331",M198="331")),"331",IF(AND(OR(L198="131",M198="131"),H198='131-CT'!$E$7),"131",""))</f>
        <v/>
      </c>
      <c r="O198" s="891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24"/>
      <c r="AC198" s="589"/>
      <c r="AD198" s="589"/>
    </row>
    <row r="199" spans="1:31" s="210" customFormat="1" ht="15.75" hidden="1" customHeight="1">
      <c r="A199" s="203" t="str">
        <f>IF(B199&lt;&gt;"",IF(AND(B199&gt;=_TM1,B199&lt;=_TM2,OR(TH!L199="1111",TH!M199="1111")),TH!D199,""),"")</f>
        <v/>
      </c>
      <c r="B199" s="36">
        <f t="shared" si="24"/>
        <v>7</v>
      </c>
      <c r="C199" s="183">
        <f t="shared" si="22"/>
        <v>42574</v>
      </c>
      <c r="D199" s="183" t="s">
        <v>716</v>
      </c>
      <c r="E199" s="190">
        <v>42574</v>
      </c>
      <c r="F199" s="188" t="s">
        <v>614</v>
      </c>
      <c r="G199" s="479" t="s">
        <v>613</v>
      </c>
      <c r="H199" s="7" t="s">
        <v>772</v>
      </c>
      <c r="I199" s="255">
        <v>350</v>
      </c>
      <c r="J199" s="255">
        <v>13600</v>
      </c>
      <c r="K199" s="37">
        <f t="shared" si="25"/>
        <v>4760000</v>
      </c>
      <c r="L199" s="193" t="s">
        <v>259</v>
      </c>
      <c r="M199" s="598" t="s">
        <v>174</v>
      </c>
      <c r="N199" s="51" t="str">
        <f>IF(AND('331-CT'!$E$7=TH!H199,OR(L199="331",M199="331")),"331",IF(AND(OR(L199="131",M199="131"),H199='131-CT'!$E$7),"131",""))</f>
        <v/>
      </c>
      <c r="O199" s="891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/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24"/>
      <c r="AC199" s="589"/>
    </row>
    <row r="200" spans="1:31" s="210" customFormat="1" ht="15.75" hidden="1" customHeight="1">
      <c r="A200" s="203" t="str">
        <f>IF(B200&lt;&gt;"",IF(AND(B200&gt;=_TM1,B200&lt;=_TM2,OR(TH!L200="1111",TH!M200="1111")),TH!D200,""),"")</f>
        <v/>
      </c>
      <c r="B200" s="36">
        <f t="shared" si="24"/>
        <v>7</v>
      </c>
      <c r="C200" s="183">
        <f t="shared" si="22"/>
        <v>42574</v>
      </c>
      <c r="D200" s="183" t="s">
        <v>716</v>
      </c>
      <c r="E200" s="190">
        <v>42574</v>
      </c>
      <c r="F200" s="188" t="s">
        <v>586</v>
      </c>
      <c r="G200" s="479" t="s">
        <v>613</v>
      </c>
      <c r="H200" s="7" t="s">
        <v>772</v>
      </c>
      <c r="I200" s="255"/>
      <c r="J200" s="255"/>
      <c r="K200" s="37">
        <v>476000</v>
      </c>
      <c r="L200" s="193" t="s">
        <v>259</v>
      </c>
      <c r="M200" s="598" t="s">
        <v>370</v>
      </c>
      <c r="N200" s="51" t="str">
        <f>IF(AND('331-CT'!$E$7=TH!H200,OR(L200="331",M200="331")),"331",IF(AND(OR(L200="131",M200="131"),H200='131-CT'!$E$7),"131",""))</f>
        <v/>
      </c>
      <c r="O200" s="891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>x</v>
      </c>
      <c r="AB200" s="924"/>
      <c r="AC200" s="589"/>
      <c r="AD200" s="589"/>
    </row>
    <row r="201" spans="1:31" s="210" customFormat="1" ht="15.75" hidden="1" customHeight="1">
      <c r="A201" s="203" t="str">
        <f>IF(B201&lt;&gt;"",IF(AND(B201&gt;=_TM1,B201&lt;=_TM2,OR(TH!L201="1111",TH!M201="1111")),TH!D201,""),"")</f>
        <v/>
      </c>
      <c r="B201" s="36">
        <f t="shared" si="24"/>
        <v>7</v>
      </c>
      <c r="C201" s="183">
        <f t="shared" si="22"/>
        <v>42574</v>
      </c>
      <c r="D201" s="183" t="s">
        <v>716</v>
      </c>
      <c r="E201" s="190">
        <v>42574</v>
      </c>
      <c r="F201" s="188" t="s">
        <v>571</v>
      </c>
      <c r="G201" s="479" t="s">
        <v>613</v>
      </c>
      <c r="H201" s="7" t="s">
        <v>772</v>
      </c>
      <c r="I201" s="255"/>
      <c r="J201" s="255"/>
      <c r="K201" s="37">
        <v>5236000</v>
      </c>
      <c r="L201" s="193" t="s">
        <v>47</v>
      </c>
      <c r="M201" s="598" t="s">
        <v>259</v>
      </c>
      <c r="N201" s="51" t="str">
        <f>IF(AND('331-CT'!$E$7=TH!H201,OR(L201="331",M201="331")),"331",IF(AND(OR(L201="131",M201="131"),H201='131-CT'!$E$7),"131",""))</f>
        <v/>
      </c>
      <c r="O201" s="891" t="str">
        <f>IF(AND('341-CT'!$E$9=H201,OR(LEFT(L201,3)=$O$7,LEFT(M201,3)=$O$7)),"x","")</f>
        <v/>
      </c>
      <c r="P201" s="51" t="str">
        <f>IF(AND($B201&gt;='111'!$N$11,$B201&lt;='111'!$O$11,OR($L201=$P$7,$M201=$P$7)),"x","")</f>
        <v>x</v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>x</v>
      </c>
      <c r="AB201" s="924"/>
      <c r="AC201" s="589"/>
      <c r="AD201" s="589"/>
      <c r="AE201" s="589"/>
    </row>
    <row r="202" spans="1:31" s="210" customFormat="1" ht="15.75" hidden="1" customHeight="1">
      <c r="A202" s="203" t="str">
        <f>IF(B202&lt;&gt;"",IF(AND(B202&gt;=_TM1,B202&lt;=_TM2,OR(TH!L202="1111",TH!M202="1111")),TH!D202,""),"")</f>
        <v/>
      </c>
      <c r="B202" s="36">
        <f t="shared" si="24"/>
        <v>7</v>
      </c>
      <c r="C202" s="183">
        <f t="shared" si="22"/>
        <v>42577</v>
      </c>
      <c r="D202" s="183" t="s">
        <v>717</v>
      </c>
      <c r="E202" s="190">
        <v>42577</v>
      </c>
      <c r="F202" s="188" t="s">
        <v>616</v>
      </c>
      <c r="G202" s="479" t="s">
        <v>615</v>
      </c>
      <c r="H202" s="7" t="s">
        <v>423</v>
      </c>
      <c r="I202" s="255">
        <v>473</v>
      </c>
      <c r="J202" s="255">
        <v>13000</v>
      </c>
      <c r="K202" s="37">
        <f t="shared" si="25"/>
        <v>6149000</v>
      </c>
      <c r="L202" s="193" t="s">
        <v>259</v>
      </c>
      <c r="M202" s="598" t="s">
        <v>174</v>
      </c>
      <c r="N202" s="51" t="str">
        <f>IF(AND('331-CT'!$E$7=TH!H202,OR(L202="331",M202="331")),"331",IF(AND(OR(L202="131",M202="131"),H202='131-CT'!$E$7),"131",""))</f>
        <v/>
      </c>
      <c r="O202" s="891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/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>x</v>
      </c>
      <c r="AB202" s="924"/>
      <c r="AC202" s="589"/>
      <c r="AD202" s="589"/>
      <c r="AE202" s="589"/>
    </row>
    <row r="203" spans="1:31" s="210" customFormat="1" ht="15.75" hidden="1" customHeight="1">
      <c r="A203" s="203" t="str">
        <f>IF(B203&lt;&gt;"",IF(AND(B203&gt;=_TM1,B203&lt;=_TM2,OR(TH!L203="1111",TH!M203="1111")),TH!D203,""),"")</f>
        <v/>
      </c>
      <c r="B203" s="36">
        <f t="shared" si="24"/>
        <v>7</v>
      </c>
      <c r="C203" s="183">
        <f t="shared" si="22"/>
        <v>42577</v>
      </c>
      <c r="D203" s="183" t="s">
        <v>717</v>
      </c>
      <c r="E203" s="190">
        <v>42577</v>
      </c>
      <c r="F203" s="188" t="s">
        <v>586</v>
      </c>
      <c r="G203" s="479" t="s">
        <v>615</v>
      </c>
      <c r="H203" s="7" t="s">
        <v>423</v>
      </c>
      <c r="I203" s="255"/>
      <c r="J203" s="255"/>
      <c r="K203" s="37">
        <v>614900</v>
      </c>
      <c r="L203" s="193" t="s">
        <v>259</v>
      </c>
      <c r="M203" s="598" t="s">
        <v>370</v>
      </c>
      <c r="N203" s="51" t="str">
        <f>IF(AND('331-CT'!$E$7=TH!H203,OR(L203="331",M203="331")),"331",IF(AND(OR(L203="131",M203="131"),H203='131-CT'!$E$7),"131",""))</f>
        <v/>
      </c>
      <c r="O203" s="891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>x</v>
      </c>
      <c r="AB203" s="924"/>
      <c r="AC203" s="589"/>
      <c r="AD203" s="589"/>
      <c r="AE203" s="589"/>
    </row>
    <row r="204" spans="1:31" s="210" customFormat="1" ht="15.75" hidden="1" customHeight="1">
      <c r="A204" s="203" t="str">
        <f>IF(B204&lt;&gt;"",IF(AND(B204&gt;=_TM1,B204&lt;=_TM2,OR(TH!L204="1111",TH!M204="1111")),TH!D204,""),"")</f>
        <v/>
      </c>
      <c r="B204" s="36">
        <f t="shared" si="24"/>
        <v>7</v>
      </c>
      <c r="C204" s="183">
        <f t="shared" si="22"/>
        <v>42580</v>
      </c>
      <c r="D204" s="183" t="s">
        <v>718</v>
      </c>
      <c r="E204" s="190">
        <v>42580</v>
      </c>
      <c r="F204" s="188" t="s">
        <v>618</v>
      </c>
      <c r="G204" s="479" t="s">
        <v>617</v>
      </c>
      <c r="H204" s="7" t="s">
        <v>423</v>
      </c>
      <c r="I204" s="255">
        <v>302</v>
      </c>
      <c r="J204" s="255">
        <v>10500</v>
      </c>
      <c r="K204" s="37">
        <f t="shared" si="25"/>
        <v>3171000</v>
      </c>
      <c r="L204" s="193" t="s">
        <v>259</v>
      </c>
      <c r="M204" s="598" t="s">
        <v>174</v>
      </c>
      <c r="N204" s="51" t="str">
        <f>IF(AND('331-CT'!$E$7=TH!H204,OR(L204="331",M204="331")),"331",IF(AND(OR(L204="131",M204="131"),H204='131-CT'!$E$7),"131",""))</f>
        <v/>
      </c>
      <c r="O204" s="891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/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>x</v>
      </c>
      <c r="AB204" s="924"/>
      <c r="AC204" s="589"/>
    </row>
    <row r="205" spans="1:31" s="210" customFormat="1" ht="15.75" hidden="1" customHeight="1">
      <c r="A205" s="203" t="str">
        <f>IF(B205&lt;&gt;"",IF(AND(B205&gt;=_TM1,B205&lt;=_TM2,OR(TH!L205="1111",TH!M205="1111")),TH!D205,""),"")</f>
        <v/>
      </c>
      <c r="B205" s="36">
        <f t="shared" si="24"/>
        <v>7</v>
      </c>
      <c r="C205" s="183">
        <f t="shared" si="22"/>
        <v>42580</v>
      </c>
      <c r="D205" s="183" t="s">
        <v>718</v>
      </c>
      <c r="E205" s="190">
        <v>42580</v>
      </c>
      <c r="F205" s="188" t="s">
        <v>619</v>
      </c>
      <c r="G205" s="479" t="s">
        <v>617</v>
      </c>
      <c r="H205" s="7" t="s">
        <v>423</v>
      </c>
      <c r="I205" s="255">
        <v>527</v>
      </c>
      <c r="J205" s="255">
        <v>10500</v>
      </c>
      <c r="K205" s="37">
        <f t="shared" si="25"/>
        <v>5533500</v>
      </c>
      <c r="L205" s="193" t="s">
        <v>259</v>
      </c>
      <c r="M205" s="598" t="s">
        <v>174</v>
      </c>
      <c r="N205" s="51" t="str">
        <f>IF(AND('331-CT'!$E$7=TH!H205,OR(L205="331",M205="331")),"331",IF(AND(OR(L205="131",M205="131"),H205='131-CT'!$E$7),"131",""))</f>
        <v/>
      </c>
      <c r="O205" s="891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>x</v>
      </c>
      <c r="AB205" s="924"/>
      <c r="AC205" s="589"/>
      <c r="AD205" s="589"/>
    </row>
    <row r="206" spans="1:31" s="210" customFormat="1" ht="15.75" hidden="1" customHeight="1">
      <c r="A206" s="203" t="str">
        <f>IF(B206&lt;&gt;"",IF(AND(B206&gt;=_TM1,B206&lt;=_TM2,OR(TH!L206="1111",TH!M206="1111")),TH!D206,""),"")</f>
        <v/>
      </c>
      <c r="B206" s="36">
        <f t="shared" si="24"/>
        <v>7</v>
      </c>
      <c r="C206" s="183">
        <f t="shared" si="22"/>
        <v>42580</v>
      </c>
      <c r="D206" s="183" t="s">
        <v>718</v>
      </c>
      <c r="E206" s="190">
        <v>42580</v>
      </c>
      <c r="F206" s="188" t="s">
        <v>586</v>
      </c>
      <c r="G206" s="479" t="s">
        <v>617</v>
      </c>
      <c r="H206" s="7" t="s">
        <v>423</v>
      </c>
      <c r="I206" s="255"/>
      <c r="J206" s="255"/>
      <c r="K206" s="37">
        <v>870450</v>
      </c>
      <c r="L206" s="193" t="s">
        <v>259</v>
      </c>
      <c r="M206" s="598" t="s">
        <v>370</v>
      </c>
      <c r="N206" s="51" t="str">
        <f>IF(AND('331-CT'!$E$7=TH!H206,OR(L206="331",M206="331")),"331",IF(AND(OR(L206="131",M206="131"),H206='131-CT'!$E$7),"131",""))</f>
        <v/>
      </c>
      <c r="O206" s="891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>x</v>
      </c>
      <c r="AB206" s="923"/>
      <c r="AC206" s="589"/>
      <c r="AD206" s="589"/>
    </row>
    <row r="207" spans="1:31" s="210" customFormat="1" ht="15.75" hidden="1" customHeight="1">
      <c r="A207" s="203" t="str">
        <f>IF(B207&lt;&gt;"",IF(AND(B207&gt;=_TM1,B207&lt;=_TM2,OR(TH!L207="1111",TH!M207="1111")),TH!D207,""),"")</f>
        <v/>
      </c>
      <c r="B207" s="36">
        <f t="shared" si="24"/>
        <v>7</v>
      </c>
      <c r="C207" s="183">
        <f t="shared" si="22"/>
        <v>42580</v>
      </c>
      <c r="D207" s="183" t="s">
        <v>719</v>
      </c>
      <c r="E207" s="190">
        <v>42580</v>
      </c>
      <c r="F207" s="188" t="s">
        <v>434</v>
      </c>
      <c r="G207" s="479" t="s">
        <v>620</v>
      </c>
      <c r="H207" s="7" t="s">
        <v>429</v>
      </c>
      <c r="I207" s="255">
        <v>100</v>
      </c>
      <c r="J207" s="255">
        <v>19700</v>
      </c>
      <c r="K207" s="37">
        <f t="shared" si="25"/>
        <v>1970000</v>
      </c>
      <c r="L207" s="193" t="s">
        <v>259</v>
      </c>
      <c r="M207" s="598" t="s">
        <v>174</v>
      </c>
      <c r="N207" s="51" t="str">
        <f>IF(AND('331-CT'!$E$7=TH!H207,OR(L207="331",M207="331")),"331",IF(AND(OR(L207="131",M207="131"),H207='131-CT'!$E$7),"131",""))</f>
        <v/>
      </c>
      <c r="O207" s="891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/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>x</v>
      </c>
      <c r="AB207" s="924"/>
      <c r="AC207" s="589"/>
      <c r="AD207" s="589"/>
    </row>
    <row r="208" spans="1:31" s="210" customFormat="1" ht="15.75" hidden="1" customHeight="1">
      <c r="A208" s="203" t="str">
        <f>IF(B208&lt;&gt;"",IF(AND(B208&gt;=_TM1,B208&lt;=_TM2,OR(TH!L208="1111",TH!M208="1111")),TH!D208,""),"")</f>
        <v/>
      </c>
      <c r="B208" s="36">
        <f t="shared" si="24"/>
        <v>7</v>
      </c>
      <c r="C208" s="183">
        <f t="shared" si="22"/>
        <v>42580</v>
      </c>
      <c r="D208" s="183" t="s">
        <v>719</v>
      </c>
      <c r="E208" s="190">
        <v>42580</v>
      </c>
      <c r="F208" s="188" t="s">
        <v>435</v>
      </c>
      <c r="G208" s="479" t="s">
        <v>620</v>
      </c>
      <c r="H208" s="7" t="s">
        <v>429</v>
      </c>
      <c r="I208" s="255">
        <v>100</v>
      </c>
      <c r="J208" s="255">
        <v>20100</v>
      </c>
      <c r="K208" s="37">
        <f t="shared" si="25"/>
        <v>2010000</v>
      </c>
      <c r="L208" s="193" t="s">
        <v>259</v>
      </c>
      <c r="M208" s="598" t="s">
        <v>174</v>
      </c>
      <c r="N208" s="51" t="str">
        <f>IF(AND('331-CT'!$E$7=TH!H208,OR(L208="331",M208="331")),"331",IF(AND(OR(L208="131",M208="131"),H208='131-CT'!$E$7),"131",""))</f>
        <v/>
      </c>
      <c r="O208" s="891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/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>x</v>
      </c>
      <c r="AB208" s="923"/>
      <c r="AC208" s="589"/>
      <c r="AD208" s="589"/>
    </row>
    <row r="209" spans="1:30" s="210" customFormat="1" ht="15.75" hidden="1" customHeight="1">
      <c r="A209" s="203" t="str">
        <f>IF(B209&lt;&gt;"",IF(AND(B209&gt;=_TM1,B209&lt;=_TM2,OR(TH!L209="1111",TH!M209="1111")),TH!D209,""),"")</f>
        <v/>
      </c>
      <c r="B209" s="36">
        <f t="shared" si="24"/>
        <v>7</v>
      </c>
      <c r="C209" s="183">
        <f t="shared" si="22"/>
        <v>42580</v>
      </c>
      <c r="D209" s="183" t="s">
        <v>719</v>
      </c>
      <c r="E209" s="190">
        <v>42580</v>
      </c>
      <c r="F209" s="188" t="s">
        <v>586</v>
      </c>
      <c r="G209" s="479" t="s">
        <v>620</v>
      </c>
      <c r="H209" s="7" t="s">
        <v>429</v>
      </c>
      <c r="I209" s="255"/>
      <c r="J209" s="255"/>
      <c r="K209" s="37">
        <v>398000</v>
      </c>
      <c r="L209" s="193" t="s">
        <v>259</v>
      </c>
      <c r="M209" s="598" t="s">
        <v>370</v>
      </c>
      <c r="N209" s="51" t="str">
        <f>IF(AND('331-CT'!$E$7=TH!H209,OR(L209="331",M209="331")),"331",IF(AND(OR(L209="131",M209="131"),H209='131-CT'!$E$7),"131",""))</f>
        <v/>
      </c>
      <c r="O209" s="891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/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/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>x</v>
      </c>
      <c r="AB209" s="924"/>
      <c r="AC209" s="589"/>
    </row>
    <row r="210" spans="1:30" s="210" customFormat="1" ht="15.75" hidden="1" customHeight="1">
      <c r="A210" s="203" t="str">
        <f>IF(B210&lt;&gt;"",IF(AND(B210&gt;=_TM1,B210&lt;=_TM2,OR(TH!L210="1111",TH!M210="1111")),TH!D210,""),"")</f>
        <v/>
      </c>
      <c r="B210" s="36">
        <f t="shared" si="24"/>
        <v>8</v>
      </c>
      <c r="C210" s="183">
        <f t="shared" si="22"/>
        <v>42583</v>
      </c>
      <c r="D210" s="183" t="s">
        <v>720</v>
      </c>
      <c r="E210" s="190">
        <v>42583</v>
      </c>
      <c r="F210" s="188" t="s">
        <v>608</v>
      </c>
      <c r="G210" s="479" t="s">
        <v>621</v>
      </c>
      <c r="H210" s="7" t="s">
        <v>771</v>
      </c>
      <c r="I210" s="7">
        <v>500</v>
      </c>
      <c r="J210" s="255">
        <v>5900</v>
      </c>
      <c r="K210" s="37">
        <f t="shared" si="25"/>
        <v>2950000</v>
      </c>
      <c r="L210" s="193" t="s">
        <v>259</v>
      </c>
      <c r="M210" s="598" t="s">
        <v>174</v>
      </c>
      <c r="N210" s="51" t="str">
        <f>IF(AND('331-CT'!$E$7=TH!H210,OR(L210="331",M210="331")),"331",IF(AND(OR(L210="131",M210="131"),H210='131-CT'!$E$7),"131",""))</f>
        <v/>
      </c>
      <c r="O210" s="891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/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>x</v>
      </c>
      <c r="AB210" s="924"/>
      <c r="AC210" s="589"/>
      <c r="AD210" s="589"/>
    </row>
    <row r="211" spans="1:30" s="210" customFormat="1" ht="15.75" hidden="1" customHeight="1">
      <c r="A211" s="203" t="str">
        <f>IF(B211&lt;&gt;"",IF(AND(B211&gt;=_TM1,B211&lt;=_TM2,OR(TH!L211="1111",TH!M211="1111")),TH!D211,""),"")</f>
        <v/>
      </c>
      <c r="B211" s="36">
        <f t="shared" si="24"/>
        <v>8</v>
      </c>
      <c r="C211" s="183">
        <f t="shared" si="22"/>
        <v>42583</v>
      </c>
      <c r="D211" s="183" t="s">
        <v>720</v>
      </c>
      <c r="E211" s="190">
        <v>42583</v>
      </c>
      <c r="F211" s="188" t="s">
        <v>586</v>
      </c>
      <c r="G211" s="479" t="s">
        <v>621</v>
      </c>
      <c r="H211" s="7" t="s">
        <v>771</v>
      </c>
      <c r="I211" s="255"/>
      <c r="J211" s="255"/>
      <c r="K211" s="37">
        <v>295000</v>
      </c>
      <c r="L211" s="193" t="s">
        <v>259</v>
      </c>
      <c r="M211" s="598" t="s">
        <v>370</v>
      </c>
      <c r="N211" s="51" t="str">
        <f>IF(AND('331-CT'!$E$7=TH!H211,OR(L211="331",M211="331")),"331",IF(AND(OR(L211="131",M211="131"),H211='131-CT'!$E$7),"131",""))</f>
        <v/>
      </c>
      <c r="O211" s="891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>x</v>
      </c>
      <c r="AB211" s="924"/>
      <c r="AC211" s="589"/>
      <c r="AD211" s="589"/>
    </row>
    <row r="212" spans="1:30" s="210" customFormat="1" ht="15.75" hidden="1" customHeight="1">
      <c r="A212" s="203" t="str">
        <f>IF(B212&lt;&gt;"",IF(AND(B212&gt;=_TM1,B212&lt;=_TM2,OR(TH!L212="1111",TH!M212="1111")),TH!D212,""),"")</f>
        <v/>
      </c>
      <c r="B212" s="36">
        <f t="shared" si="24"/>
        <v>8</v>
      </c>
      <c r="C212" s="183">
        <f t="shared" si="22"/>
        <v>42584</v>
      </c>
      <c r="D212" s="183" t="s">
        <v>721</v>
      </c>
      <c r="E212" s="190">
        <v>42584</v>
      </c>
      <c r="F212" s="188" t="s">
        <v>623</v>
      </c>
      <c r="G212" s="479" t="s">
        <v>622</v>
      </c>
      <c r="H212" s="7" t="s">
        <v>437</v>
      </c>
      <c r="I212" s="255">
        <v>606</v>
      </c>
      <c r="J212" s="255">
        <v>6000</v>
      </c>
      <c r="K212" s="37">
        <f t="shared" ref="K212:K275" si="26">ROUND(I212*J212,0)</f>
        <v>3636000</v>
      </c>
      <c r="L212" s="193" t="s">
        <v>259</v>
      </c>
      <c r="M212" s="598" t="s">
        <v>174</v>
      </c>
      <c r="N212" s="51" t="str">
        <f>IF(AND('331-CT'!$E$7=TH!H212,OR(L212="331",M212="331")),"331",IF(AND(OR(L212="131",M212="131"),H212='131-CT'!$E$7),"131",""))</f>
        <v/>
      </c>
      <c r="O212" s="891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>x</v>
      </c>
      <c r="AB212" s="924"/>
      <c r="AC212" s="589"/>
      <c r="AD212" s="589"/>
    </row>
    <row r="213" spans="1:30" s="210" customFormat="1" ht="15.75" hidden="1" customHeight="1">
      <c r="A213" s="203" t="str">
        <f>IF(B213&lt;&gt;"",IF(AND(B213&gt;=_TM1,B213&lt;=_TM2,OR(TH!L213="1111",TH!M213="1111")),TH!D213,""),"")</f>
        <v/>
      </c>
      <c r="B213" s="36">
        <f t="shared" si="24"/>
        <v>8</v>
      </c>
      <c r="C213" s="183">
        <f t="shared" si="22"/>
        <v>42584</v>
      </c>
      <c r="D213" s="183" t="s">
        <v>721</v>
      </c>
      <c r="E213" s="190">
        <v>42584</v>
      </c>
      <c r="F213" s="188" t="s">
        <v>624</v>
      </c>
      <c r="G213" s="479" t="s">
        <v>622</v>
      </c>
      <c r="H213" s="7" t="s">
        <v>437</v>
      </c>
      <c r="I213" s="255">
        <v>404</v>
      </c>
      <c r="J213" s="255">
        <v>8600</v>
      </c>
      <c r="K213" s="37">
        <f t="shared" si="26"/>
        <v>3474400</v>
      </c>
      <c r="L213" s="193" t="s">
        <v>259</v>
      </c>
      <c r="M213" s="598" t="s">
        <v>174</v>
      </c>
      <c r="N213" s="51" t="str">
        <f>IF(AND('331-CT'!$E$7=TH!H213,OR(L213="331",M213="331")),"331",IF(AND(OR(L213="131",M213="131"),H213='131-CT'!$E$7),"131",""))</f>
        <v/>
      </c>
      <c r="O213" s="891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>x</v>
      </c>
      <c r="AB213" s="924"/>
      <c r="AC213" s="589"/>
      <c r="AD213" s="589"/>
    </row>
    <row r="214" spans="1:30" s="210" customFormat="1" ht="15.75" hidden="1" customHeight="1">
      <c r="A214" s="203" t="str">
        <f>IF(B214&lt;&gt;"",IF(AND(B214&gt;=_TM1,B214&lt;=_TM2,OR(TH!L214="1111",TH!M214="1111")),TH!D214,""),"")</f>
        <v/>
      </c>
      <c r="B214" s="36">
        <f t="shared" si="24"/>
        <v>8</v>
      </c>
      <c r="C214" s="183">
        <f t="shared" si="22"/>
        <v>42584</v>
      </c>
      <c r="D214" s="183" t="s">
        <v>721</v>
      </c>
      <c r="E214" s="190">
        <v>42584</v>
      </c>
      <c r="F214" s="188" t="s">
        <v>625</v>
      </c>
      <c r="G214" s="479" t="s">
        <v>622</v>
      </c>
      <c r="H214" s="7" t="s">
        <v>437</v>
      </c>
      <c r="I214" s="255">
        <v>304</v>
      </c>
      <c r="J214" s="255">
        <v>14200</v>
      </c>
      <c r="K214" s="37">
        <f t="shared" si="26"/>
        <v>4316800</v>
      </c>
      <c r="L214" s="193" t="s">
        <v>259</v>
      </c>
      <c r="M214" s="598" t="s">
        <v>174</v>
      </c>
      <c r="N214" s="51" t="str">
        <f>IF(AND('331-CT'!$E$7=TH!H214,OR(L214="331",M214="331")),"331",IF(AND(OR(L214="131",M214="131"),H214='131-CT'!$E$7),"131",""))</f>
        <v/>
      </c>
      <c r="O214" s="891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/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>x</v>
      </c>
      <c r="AB214" s="924"/>
      <c r="AC214" s="589"/>
    </row>
    <row r="215" spans="1:30" s="210" customFormat="1" ht="15.75" hidden="1" customHeight="1">
      <c r="A215" s="203" t="str">
        <f>IF(B215&lt;&gt;"",IF(AND(B215&gt;=_TM1,B215&lt;=_TM2,OR(TH!L215="1111",TH!M215="1111")),TH!D215,""),"")</f>
        <v/>
      </c>
      <c r="B215" s="36">
        <f t="shared" si="24"/>
        <v>8</v>
      </c>
      <c r="C215" s="183">
        <f t="shared" si="22"/>
        <v>42584</v>
      </c>
      <c r="D215" s="183" t="s">
        <v>721</v>
      </c>
      <c r="E215" s="190">
        <v>42584</v>
      </c>
      <c r="F215" s="188" t="s">
        <v>586</v>
      </c>
      <c r="G215" s="479" t="s">
        <v>622</v>
      </c>
      <c r="H215" s="7" t="s">
        <v>437</v>
      </c>
      <c r="I215" s="255"/>
      <c r="J215" s="255"/>
      <c r="K215" s="37">
        <v>1142720</v>
      </c>
      <c r="L215" s="193" t="s">
        <v>259</v>
      </c>
      <c r="M215" s="598" t="s">
        <v>370</v>
      </c>
      <c r="N215" s="51" t="str">
        <f>IF(AND('331-CT'!$E$7=TH!H215,OR(L215="331",M215="331")),"331",IF(AND(OR(L215="131",M215="131"),H215='131-CT'!$E$7),"131",""))</f>
        <v/>
      </c>
      <c r="O215" s="891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>x</v>
      </c>
      <c r="AB215" s="924"/>
      <c r="AC215" s="589"/>
      <c r="AD215" s="589"/>
    </row>
    <row r="216" spans="1:30" s="210" customFormat="1" ht="15.75" hidden="1" customHeight="1">
      <c r="A216" s="203" t="str">
        <f>IF(B216&lt;&gt;"",IF(AND(B216&gt;=_TM1,B216&lt;=_TM2,OR(TH!L216="1111",TH!M216="1111")),TH!D216,""),"")</f>
        <v/>
      </c>
      <c r="B216" s="36">
        <f t="shared" si="24"/>
        <v>8</v>
      </c>
      <c r="C216" s="183">
        <f t="shared" si="22"/>
        <v>42584</v>
      </c>
      <c r="D216" s="183" t="s">
        <v>722</v>
      </c>
      <c r="E216" s="190">
        <v>42584</v>
      </c>
      <c r="F216" s="188" t="s">
        <v>627</v>
      </c>
      <c r="G216" s="479" t="s">
        <v>626</v>
      </c>
      <c r="H216" s="7" t="s">
        <v>422</v>
      </c>
      <c r="I216" s="255">
        <v>1335</v>
      </c>
      <c r="J216" s="255">
        <v>5000</v>
      </c>
      <c r="K216" s="37">
        <f t="shared" si="26"/>
        <v>6675000</v>
      </c>
      <c r="L216" s="193" t="s">
        <v>259</v>
      </c>
      <c r="M216" s="598" t="s">
        <v>174</v>
      </c>
      <c r="N216" s="51" t="str">
        <f>IF(AND('331-CT'!$E$7=TH!H216,OR(L216="331",M216="331")),"331",IF(AND(OR(L216="131",M216="131"),H216='131-CT'!$E$7),"131",""))</f>
        <v/>
      </c>
      <c r="O216" s="891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>x</v>
      </c>
      <c r="AB216" s="924"/>
      <c r="AC216" s="589"/>
      <c r="AD216" s="589"/>
    </row>
    <row r="217" spans="1:30" s="210" customFormat="1" ht="15.75" hidden="1" customHeight="1">
      <c r="A217" s="203" t="str">
        <f>IF(B217&lt;&gt;"",IF(AND(B217&gt;=_TM1,B217&lt;=_TM2,OR(TH!L217="1111",TH!M217="1111")),TH!D217,""),"")</f>
        <v/>
      </c>
      <c r="B217" s="36">
        <f t="shared" si="24"/>
        <v>8</v>
      </c>
      <c r="C217" s="183">
        <f t="shared" si="22"/>
        <v>42584</v>
      </c>
      <c r="D217" s="183" t="s">
        <v>722</v>
      </c>
      <c r="E217" s="190">
        <v>42584</v>
      </c>
      <c r="F217" s="188" t="s">
        <v>628</v>
      </c>
      <c r="G217" s="479" t="s">
        <v>626</v>
      </c>
      <c r="H217" s="7" t="s">
        <v>422</v>
      </c>
      <c r="I217" s="255">
        <v>302</v>
      </c>
      <c r="J217" s="255">
        <v>5100</v>
      </c>
      <c r="K217" s="37">
        <f t="shared" si="26"/>
        <v>1540200</v>
      </c>
      <c r="L217" s="193" t="s">
        <v>259</v>
      </c>
      <c r="M217" s="598" t="s">
        <v>174</v>
      </c>
      <c r="N217" s="51" t="str">
        <f>IF(AND('331-CT'!$E$7=TH!H217,OR(L217="331",M217="331")),"331",IF(AND(OR(L217="131",M217="131"),H217='131-CT'!$E$7),"131",""))</f>
        <v/>
      </c>
      <c r="O217" s="891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>x</v>
      </c>
      <c r="AB217" s="924"/>
      <c r="AC217" s="589"/>
      <c r="AD217" s="589"/>
    </row>
    <row r="218" spans="1:30" s="210" customFormat="1" ht="15.75" hidden="1" customHeight="1">
      <c r="A218" s="203" t="str">
        <f>IF(B218&lt;&gt;"",IF(AND(B218&gt;=_TM1,B218&lt;=_TM2,OR(TH!L218="1111",TH!M218="1111")),TH!D218,""),"")</f>
        <v/>
      </c>
      <c r="B218" s="36">
        <f t="shared" si="24"/>
        <v>8</v>
      </c>
      <c r="C218" s="183">
        <f t="shared" si="22"/>
        <v>42584</v>
      </c>
      <c r="D218" s="183" t="s">
        <v>722</v>
      </c>
      <c r="E218" s="190">
        <v>42584</v>
      </c>
      <c r="F218" s="188" t="s">
        <v>629</v>
      </c>
      <c r="G218" s="479" t="s">
        <v>626</v>
      </c>
      <c r="H218" s="7" t="s">
        <v>422</v>
      </c>
      <c r="I218" s="255">
        <v>420</v>
      </c>
      <c r="J218" s="255">
        <v>9700</v>
      </c>
      <c r="K218" s="37">
        <f t="shared" si="26"/>
        <v>4074000</v>
      </c>
      <c r="L218" s="193" t="s">
        <v>259</v>
      </c>
      <c r="M218" s="598" t="s">
        <v>174</v>
      </c>
      <c r="N218" s="51" t="str">
        <f>IF(AND('331-CT'!$E$7=TH!H218,OR(L218="331",M218="331")),"331",IF(AND(OR(L218="131",M218="131"),H218='131-CT'!$E$7),"131",""))</f>
        <v/>
      </c>
      <c r="O218" s="891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/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>x</v>
      </c>
      <c r="AB218" s="924"/>
      <c r="AC218" s="589"/>
      <c r="AD218" s="589"/>
    </row>
    <row r="219" spans="1:30" s="210" customFormat="1" ht="15.75" hidden="1" customHeight="1">
      <c r="A219" s="203" t="str">
        <f>IF(B219&lt;&gt;"",IF(AND(B219&gt;=_TM1,B219&lt;=_TM2,OR(TH!L219="1111",TH!M219="1111")),TH!D219,""),"")</f>
        <v/>
      </c>
      <c r="B219" s="36">
        <f t="shared" si="24"/>
        <v>8</v>
      </c>
      <c r="C219" s="183">
        <f t="shared" si="22"/>
        <v>42584</v>
      </c>
      <c r="D219" s="183" t="s">
        <v>722</v>
      </c>
      <c r="E219" s="190">
        <v>42584</v>
      </c>
      <c r="F219" s="188" t="s">
        <v>586</v>
      </c>
      <c r="G219" s="479" t="s">
        <v>626</v>
      </c>
      <c r="H219" s="7" t="s">
        <v>422</v>
      </c>
      <c r="I219" s="255"/>
      <c r="J219" s="255"/>
      <c r="K219" s="37">
        <v>1228920</v>
      </c>
      <c r="L219" s="193" t="s">
        <v>259</v>
      </c>
      <c r="M219" s="598" t="s">
        <v>370</v>
      </c>
      <c r="N219" s="51" t="str">
        <f>IF(AND('331-CT'!$E$7=TH!H219,OR(L219="331",M219="331")),"331",IF(AND(OR(L219="131",M219="131"),H219='131-CT'!$E$7),"131",""))</f>
        <v/>
      </c>
      <c r="O219" s="891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>x</v>
      </c>
      <c r="AB219" s="924"/>
      <c r="AC219" s="589"/>
      <c r="AD219" s="589"/>
    </row>
    <row r="220" spans="1:30" s="210" customFormat="1" ht="15.75" hidden="1" customHeight="1">
      <c r="A220" s="203" t="str">
        <f>IF(B220&lt;&gt;"",IF(AND(B220&gt;=_TM1,B220&lt;=_TM2,OR(TH!L220="1111",TH!M220="1111")),TH!D220,""),"")</f>
        <v/>
      </c>
      <c r="B220" s="36">
        <f t="shared" si="24"/>
        <v>8</v>
      </c>
      <c r="C220" s="183">
        <f t="shared" si="22"/>
        <v>42585</v>
      </c>
      <c r="D220" s="183" t="s">
        <v>723</v>
      </c>
      <c r="E220" s="190">
        <v>42585</v>
      </c>
      <c r="F220" s="188" t="s">
        <v>631</v>
      </c>
      <c r="G220" s="479" t="s">
        <v>630</v>
      </c>
      <c r="H220" s="7" t="s">
        <v>423</v>
      </c>
      <c r="I220" s="255">
        <v>427</v>
      </c>
      <c r="J220" s="255">
        <v>10200</v>
      </c>
      <c r="K220" s="37">
        <f t="shared" si="26"/>
        <v>4355400</v>
      </c>
      <c r="L220" s="193" t="s">
        <v>259</v>
      </c>
      <c r="M220" s="598" t="s">
        <v>174</v>
      </c>
      <c r="N220" s="51" t="str">
        <f>IF(AND('331-CT'!$E$7=TH!H220,OR(L220="331",M220="331")),"331",IF(AND(OR(L220="131",M220="131"),H220='131-CT'!$E$7),"131",""))</f>
        <v/>
      </c>
      <c r="O220" s="891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/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>x</v>
      </c>
      <c r="AB220" s="924"/>
      <c r="AC220" s="589"/>
      <c r="AD220" s="589"/>
    </row>
    <row r="221" spans="1:30" s="210" customFormat="1" ht="15.75" hidden="1" customHeight="1">
      <c r="A221" s="203" t="str">
        <f>IF(B221&lt;&gt;"",IF(AND(B221&gt;=_TM1,B221&lt;=_TM2,OR(TH!L221="1111",TH!M221="1111")),TH!D221,""),"")</f>
        <v/>
      </c>
      <c r="B221" s="36">
        <f t="shared" si="24"/>
        <v>8</v>
      </c>
      <c r="C221" s="183">
        <f t="shared" si="22"/>
        <v>42585</v>
      </c>
      <c r="D221" s="183" t="s">
        <v>723</v>
      </c>
      <c r="E221" s="190">
        <v>42585</v>
      </c>
      <c r="F221" s="188" t="s">
        <v>586</v>
      </c>
      <c r="G221" s="479" t="s">
        <v>630</v>
      </c>
      <c r="H221" s="7" t="s">
        <v>423</v>
      </c>
      <c r="I221" s="255"/>
      <c r="J221" s="255"/>
      <c r="K221" s="37">
        <v>435540</v>
      </c>
      <c r="L221" s="193" t="s">
        <v>259</v>
      </c>
      <c r="M221" s="598" t="s">
        <v>370</v>
      </c>
      <c r="N221" s="51" t="str">
        <f>IF(AND('331-CT'!$E$7=TH!H221,OR(L221="331",M221="331")),"331",IF(AND(OR(L221="131",M221="131"),H221='131-CT'!$E$7),"131",""))</f>
        <v/>
      </c>
      <c r="O221" s="891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>x</v>
      </c>
      <c r="AB221" s="923"/>
      <c r="AC221" s="589"/>
    </row>
    <row r="222" spans="1:30" s="210" customFormat="1" ht="15.75" hidden="1" customHeight="1">
      <c r="A222" s="203" t="str">
        <f>IF(B222&lt;&gt;"",IF(AND(B222&gt;=_TM1,B222&lt;=_TM2,OR(TH!L222="1111",TH!M222="1111")),TH!D222,""),"")</f>
        <v/>
      </c>
      <c r="B222" s="36">
        <f t="shared" si="24"/>
        <v>8</v>
      </c>
      <c r="C222" s="183">
        <f t="shared" si="22"/>
        <v>42588</v>
      </c>
      <c r="D222" s="183" t="s">
        <v>724</v>
      </c>
      <c r="E222" s="190">
        <v>42588</v>
      </c>
      <c r="F222" s="188" t="s">
        <v>665</v>
      </c>
      <c r="G222" s="479" t="s">
        <v>632</v>
      </c>
      <c r="H222" s="7" t="s">
        <v>770</v>
      </c>
      <c r="I222" s="255">
        <v>108</v>
      </c>
      <c r="J222" s="255">
        <v>6400</v>
      </c>
      <c r="K222" s="37">
        <f t="shared" si="26"/>
        <v>691200</v>
      </c>
      <c r="L222" s="193" t="s">
        <v>259</v>
      </c>
      <c r="M222" s="598" t="s">
        <v>174</v>
      </c>
      <c r="N222" s="51" t="str">
        <f>IF(AND('331-CT'!$E$7=TH!H222,OR(L222="331",M222="331")),"331",IF(AND(OR(L222="131",M222="131"),H222='131-CT'!$E$7),"131",""))</f>
        <v/>
      </c>
      <c r="O222" s="891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>x</v>
      </c>
      <c r="AB222" s="924"/>
      <c r="AC222" s="589"/>
      <c r="AD222" s="589"/>
    </row>
    <row r="223" spans="1:30" s="210" customFormat="1" ht="15.75" hidden="1" customHeight="1">
      <c r="A223" s="203" t="str">
        <f>IF(B223&lt;&gt;"",IF(AND(B223&gt;=_TM1,B223&lt;=_TM2,OR(TH!L223="1111",TH!M223="1111")),TH!D223,""),"")</f>
        <v/>
      </c>
      <c r="B223" s="36">
        <f t="shared" si="24"/>
        <v>8</v>
      </c>
      <c r="C223" s="183">
        <f t="shared" si="22"/>
        <v>42588</v>
      </c>
      <c r="D223" s="183" t="s">
        <v>724</v>
      </c>
      <c r="E223" s="190">
        <v>42588</v>
      </c>
      <c r="F223" s="188" t="s">
        <v>585</v>
      </c>
      <c r="G223" s="479" t="s">
        <v>632</v>
      </c>
      <c r="H223" s="7" t="s">
        <v>770</v>
      </c>
      <c r="I223" s="255">
        <v>103</v>
      </c>
      <c r="J223" s="255">
        <v>9400</v>
      </c>
      <c r="K223" s="37">
        <f t="shared" si="26"/>
        <v>968200</v>
      </c>
      <c r="L223" s="193" t="s">
        <v>259</v>
      </c>
      <c r="M223" s="598" t="s">
        <v>174</v>
      </c>
      <c r="N223" s="51" t="str">
        <f>IF(AND('331-CT'!$E$7=TH!H223,OR(L223="331",M223="331")),"331",IF(AND(OR(L223="131",M223="131"),H223='131-CT'!$E$7),"131",""))</f>
        <v/>
      </c>
      <c r="O223" s="891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>x</v>
      </c>
      <c r="AB223" s="924"/>
      <c r="AC223" s="589"/>
      <c r="AD223" s="589"/>
    </row>
    <row r="224" spans="1:30" s="210" customFormat="1" ht="15.75" hidden="1" customHeight="1">
      <c r="A224" s="203" t="str">
        <f>IF(B224&lt;&gt;"",IF(AND(B224&gt;=_TM1,B224&lt;=_TM2,OR(TH!L224="1111",TH!M224="1111")),TH!D224,""),"")</f>
        <v/>
      </c>
      <c r="B224" s="36">
        <f t="shared" si="24"/>
        <v>8</v>
      </c>
      <c r="C224" s="183">
        <f t="shared" si="22"/>
        <v>42588</v>
      </c>
      <c r="D224" s="183" t="s">
        <v>724</v>
      </c>
      <c r="E224" s="190">
        <v>42588</v>
      </c>
      <c r="F224" s="188" t="s">
        <v>586</v>
      </c>
      <c r="G224" s="479" t="s">
        <v>632</v>
      </c>
      <c r="H224" s="7" t="s">
        <v>770</v>
      </c>
      <c r="I224" s="255"/>
      <c r="J224" s="255"/>
      <c r="K224" s="37">
        <v>165940</v>
      </c>
      <c r="L224" s="193" t="s">
        <v>259</v>
      </c>
      <c r="M224" s="598" t="s">
        <v>370</v>
      </c>
      <c r="N224" s="51" t="str">
        <f>IF(AND('331-CT'!$E$7=TH!H224,OR(L224="331",M224="331")),"331",IF(AND(OR(L224="131",M224="131"),H224='131-CT'!$E$7),"131",""))</f>
        <v/>
      </c>
      <c r="O224" s="891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>x</v>
      </c>
      <c r="AB224" s="924"/>
      <c r="AC224" s="589"/>
      <c r="AD224" s="589"/>
    </row>
    <row r="225" spans="1:31" s="210" customFormat="1" ht="15.75" hidden="1" customHeight="1">
      <c r="A225" s="203" t="str">
        <f>IF(B225&lt;&gt;"",IF(AND(B225&gt;=_TM1,B225&lt;=_TM2,OR(TH!L225="1111",TH!M225="1111")),TH!D225,""),"")</f>
        <v/>
      </c>
      <c r="B225" s="36">
        <f t="shared" si="24"/>
        <v>8</v>
      </c>
      <c r="C225" s="183">
        <f t="shared" si="22"/>
        <v>42591</v>
      </c>
      <c r="D225" s="183" t="s">
        <v>725</v>
      </c>
      <c r="E225" s="190">
        <v>42591</v>
      </c>
      <c r="F225" s="188" t="s">
        <v>634</v>
      </c>
      <c r="G225" s="479" t="s">
        <v>633</v>
      </c>
      <c r="H225" s="192" t="s">
        <v>768</v>
      </c>
      <c r="I225" s="255">
        <v>490</v>
      </c>
      <c r="J225" s="255">
        <v>11000</v>
      </c>
      <c r="K225" s="37">
        <f t="shared" si="26"/>
        <v>5390000</v>
      </c>
      <c r="L225" s="193" t="s">
        <v>259</v>
      </c>
      <c r="M225" s="598" t="s">
        <v>174</v>
      </c>
      <c r="N225" s="51" t="str">
        <f>IF(AND('331-CT'!$E$7=TH!H225,OR(L225="331",M225="331")),"331",IF(AND(OR(L225="131",M225="131"),H225='131-CT'!$E$7),"131",""))</f>
        <v/>
      </c>
      <c r="O225" s="891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>x</v>
      </c>
      <c r="AB225" s="923"/>
      <c r="AC225" s="589"/>
      <c r="AD225" s="589"/>
    </row>
    <row r="226" spans="1:31" s="210" customFormat="1" ht="15.75" hidden="1" customHeight="1">
      <c r="A226" s="203" t="str">
        <f>IF(B226&lt;&gt;"",IF(AND(B226&gt;=_TM1,B226&lt;=_TM2,OR(TH!L226="1111",TH!M226="1111")),TH!D226,""),"")</f>
        <v/>
      </c>
      <c r="B226" s="36">
        <f t="shared" si="24"/>
        <v>8</v>
      </c>
      <c r="C226" s="183">
        <f t="shared" si="22"/>
        <v>42591</v>
      </c>
      <c r="D226" s="183" t="s">
        <v>725</v>
      </c>
      <c r="E226" s="190">
        <v>42591</v>
      </c>
      <c r="F226" s="188" t="s">
        <v>586</v>
      </c>
      <c r="G226" s="479" t="s">
        <v>633</v>
      </c>
      <c r="H226" s="192" t="s">
        <v>768</v>
      </c>
      <c r="I226" s="255"/>
      <c r="J226" s="255"/>
      <c r="K226" s="37">
        <v>539000</v>
      </c>
      <c r="L226" s="193" t="s">
        <v>259</v>
      </c>
      <c r="M226" s="598" t="s">
        <v>370</v>
      </c>
      <c r="N226" s="51" t="str">
        <f>IF(AND('331-CT'!$E$7=TH!H226,OR(L226="331",M226="331")),"331",IF(AND(OR(L226="131",M226="131"),H226='131-CT'!$E$7),"131",""))</f>
        <v/>
      </c>
      <c r="O226" s="891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>x</v>
      </c>
      <c r="AB226" s="924"/>
      <c r="AC226" s="589"/>
      <c r="AD226" s="589"/>
      <c r="AE226" s="589"/>
    </row>
    <row r="227" spans="1:31" s="210" customFormat="1" ht="15.75" hidden="1" customHeight="1">
      <c r="A227" s="203" t="str">
        <f>IF(B227&lt;&gt;"",IF(AND(B227&gt;=_TM1,B227&lt;=_TM2,OR(TH!L227="1111",TH!M227="1111")),TH!D227,""),"")</f>
        <v/>
      </c>
      <c r="B227" s="36">
        <f t="shared" si="24"/>
        <v>8</v>
      </c>
      <c r="C227" s="183">
        <f t="shared" si="22"/>
        <v>42592</v>
      </c>
      <c r="D227" s="183" t="s">
        <v>726</v>
      </c>
      <c r="E227" s="190">
        <v>42592</v>
      </c>
      <c r="F227" s="188" t="s">
        <v>637</v>
      </c>
      <c r="G227" s="479" t="s">
        <v>635</v>
      </c>
      <c r="H227" s="192" t="s">
        <v>636</v>
      </c>
      <c r="I227" s="255">
        <v>403</v>
      </c>
      <c r="J227" s="255">
        <v>20000</v>
      </c>
      <c r="K227" s="37">
        <f t="shared" si="26"/>
        <v>8060000</v>
      </c>
      <c r="L227" s="193" t="s">
        <v>259</v>
      </c>
      <c r="M227" s="598" t="s">
        <v>174</v>
      </c>
      <c r="N227" s="51" t="str">
        <f>IF(AND('331-CT'!$E$7=TH!H227,OR(L227="331",M227="331")),"331",IF(AND(OR(L227="131",M227="131"),H227='131-CT'!$E$7),"131",""))</f>
        <v/>
      </c>
      <c r="O227" s="891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/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>x</v>
      </c>
      <c r="AB227" s="924"/>
      <c r="AC227" s="589"/>
      <c r="AD227" s="589"/>
      <c r="AE227" s="589"/>
    </row>
    <row r="228" spans="1:31" s="210" customFormat="1" ht="15.75" hidden="1" customHeight="1">
      <c r="A228" s="203" t="str">
        <f>IF(B228&lt;&gt;"",IF(AND(B228&gt;=_TM1,B228&lt;=_TM2,OR(TH!L228="1111",TH!M228="1111")),TH!D228,""),"")</f>
        <v/>
      </c>
      <c r="B228" s="36">
        <f t="shared" si="24"/>
        <v>8</v>
      </c>
      <c r="C228" s="183">
        <f t="shared" ref="C228:C291" si="27">E228</f>
        <v>42592</v>
      </c>
      <c r="D228" s="183" t="s">
        <v>726</v>
      </c>
      <c r="E228" s="190">
        <v>42592</v>
      </c>
      <c r="F228" s="188" t="s">
        <v>586</v>
      </c>
      <c r="G228" s="479" t="s">
        <v>635</v>
      </c>
      <c r="H228" s="192" t="s">
        <v>636</v>
      </c>
      <c r="I228" s="255"/>
      <c r="J228" s="255"/>
      <c r="K228" s="37">
        <v>806000</v>
      </c>
      <c r="L228" s="193" t="s">
        <v>259</v>
      </c>
      <c r="M228" s="598" t="s">
        <v>370</v>
      </c>
      <c r="N228" s="51" t="str">
        <f>IF(AND('331-CT'!$E$7=TH!H228,OR(L228="331",M228="331")),"331",IF(AND(OR(L228="131",M228="131"),H228='131-CT'!$E$7),"131",""))</f>
        <v/>
      </c>
      <c r="O228" s="891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/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>x</v>
      </c>
      <c r="AB228" s="923"/>
      <c r="AC228" s="589"/>
      <c r="AD228" s="589"/>
      <c r="AE228" s="589"/>
    </row>
    <row r="229" spans="1:31" s="210" customFormat="1" ht="15.75" hidden="1" customHeight="1">
      <c r="A229" s="203" t="str">
        <f>IF(B229&lt;&gt;"",IF(AND(B229&gt;=_TM1,B229&lt;=_TM2,OR(TH!L229="1111",TH!M229="1111")),TH!D229,""),"")</f>
        <v/>
      </c>
      <c r="B229" s="36">
        <f t="shared" si="24"/>
        <v>8</v>
      </c>
      <c r="C229" s="183">
        <f t="shared" si="27"/>
        <v>42592</v>
      </c>
      <c r="D229" s="183" t="s">
        <v>727</v>
      </c>
      <c r="E229" s="190">
        <v>42592</v>
      </c>
      <c r="F229" s="188" t="s">
        <v>431</v>
      </c>
      <c r="G229" s="479" t="s">
        <v>638</v>
      </c>
      <c r="H229" s="7" t="s">
        <v>429</v>
      </c>
      <c r="I229" s="255">
        <v>30</v>
      </c>
      <c r="J229" s="255">
        <v>14200</v>
      </c>
      <c r="K229" s="37">
        <f t="shared" si="26"/>
        <v>426000</v>
      </c>
      <c r="L229" s="193" t="s">
        <v>259</v>
      </c>
      <c r="M229" s="598" t="s">
        <v>174</v>
      </c>
      <c r="N229" s="51" t="str">
        <f>IF(AND('331-CT'!$E$7=TH!H229,OR(L229="331",M229="331")),"331",IF(AND(OR(L229="131",M229="131"),H229='131-CT'!$E$7),"131",""))</f>
        <v/>
      </c>
      <c r="O229" s="891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>x</v>
      </c>
      <c r="AB229" s="924"/>
      <c r="AC229" s="589"/>
      <c r="AD229" s="589"/>
      <c r="AE229" s="589"/>
    </row>
    <row r="230" spans="1:31" s="210" customFormat="1" ht="15.75" hidden="1" customHeight="1">
      <c r="A230" s="203" t="str">
        <f>IF(B230&lt;&gt;"",IF(AND(B230&gt;=_TM1,B230&lt;=_TM2,OR(TH!L230="1111",TH!M230="1111")),TH!D230,""),"")</f>
        <v/>
      </c>
      <c r="B230" s="36">
        <f t="shared" si="24"/>
        <v>8</v>
      </c>
      <c r="C230" s="183">
        <f t="shared" si="27"/>
        <v>42592</v>
      </c>
      <c r="D230" s="183" t="s">
        <v>727</v>
      </c>
      <c r="E230" s="190">
        <v>42592</v>
      </c>
      <c r="F230" s="188" t="s">
        <v>432</v>
      </c>
      <c r="G230" s="479" t="s">
        <v>638</v>
      </c>
      <c r="H230" s="7" t="s">
        <v>429</v>
      </c>
      <c r="I230" s="255">
        <v>30</v>
      </c>
      <c r="J230" s="255">
        <v>15300</v>
      </c>
      <c r="K230" s="37">
        <f t="shared" si="26"/>
        <v>459000</v>
      </c>
      <c r="L230" s="193" t="s">
        <v>259</v>
      </c>
      <c r="M230" s="598" t="s">
        <v>174</v>
      </c>
      <c r="N230" s="51" t="str">
        <f>IF(AND('331-CT'!$E$7=TH!H230,OR(L230="331",M230="331")),"331",IF(AND(OR(L230="131",M230="131"),H230='131-CT'!$E$7),"131",""))</f>
        <v/>
      </c>
      <c r="O230" s="891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>x</v>
      </c>
      <c r="AB230" s="924"/>
      <c r="AC230" s="589"/>
      <c r="AD230" s="589"/>
      <c r="AE230" s="589"/>
    </row>
    <row r="231" spans="1:31" s="210" customFormat="1" ht="15.75" hidden="1" customHeight="1">
      <c r="A231" s="203" t="str">
        <f>IF(B231&lt;&gt;"",IF(AND(B231&gt;=_TM1,B231&lt;=_TM2,OR(TH!L231="1111",TH!M231="1111")),TH!D231,""),"")</f>
        <v/>
      </c>
      <c r="B231" s="36">
        <f t="shared" si="24"/>
        <v>8</v>
      </c>
      <c r="C231" s="183">
        <f t="shared" si="27"/>
        <v>42592</v>
      </c>
      <c r="D231" s="183" t="s">
        <v>727</v>
      </c>
      <c r="E231" s="190">
        <v>42592</v>
      </c>
      <c r="F231" s="188" t="s">
        <v>433</v>
      </c>
      <c r="G231" s="479" t="s">
        <v>638</v>
      </c>
      <c r="H231" s="7" t="s">
        <v>429</v>
      </c>
      <c r="I231" s="255">
        <v>30</v>
      </c>
      <c r="J231" s="255">
        <v>16500</v>
      </c>
      <c r="K231" s="37">
        <f t="shared" si="26"/>
        <v>495000</v>
      </c>
      <c r="L231" s="193" t="s">
        <v>259</v>
      </c>
      <c r="M231" s="598" t="s">
        <v>174</v>
      </c>
      <c r="N231" s="51" t="str">
        <f>IF(AND('331-CT'!$E$7=TH!H231,OR(L231="331",M231="331")),"331",IF(AND(OR(L231="131",M231="131"),H231='131-CT'!$E$7),"131",""))</f>
        <v/>
      </c>
      <c r="O231" s="891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/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>x</v>
      </c>
      <c r="AB231" s="923"/>
      <c r="AC231" s="589"/>
      <c r="AD231" s="589"/>
      <c r="AE231" s="589"/>
    </row>
    <row r="232" spans="1:31" s="210" customFormat="1" ht="15.75" hidden="1" customHeight="1">
      <c r="A232" s="203" t="str">
        <f>IF(B232&lt;&gt;"",IF(AND(B232&gt;=_TM1,B232&lt;=_TM2,OR(TH!L232="1111",TH!M232="1111")),TH!D232,""),"")</f>
        <v/>
      </c>
      <c r="B232" s="36">
        <f t="shared" si="24"/>
        <v>8</v>
      </c>
      <c r="C232" s="183">
        <f t="shared" si="27"/>
        <v>42592</v>
      </c>
      <c r="D232" s="183" t="s">
        <v>727</v>
      </c>
      <c r="E232" s="190">
        <v>42592</v>
      </c>
      <c r="F232" s="188" t="s">
        <v>434</v>
      </c>
      <c r="G232" s="479" t="s">
        <v>638</v>
      </c>
      <c r="H232" s="7" t="s">
        <v>429</v>
      </c>
      <c r="I232" s="255">
        <v>100</v>
      </c>
      <c r="J232" s="255">
        <v>19700</v>
      </c>
      <c r="K232" s="37">
        <f t="shared" si="26"/>
        <v>1970000</v>
      </c>
      <c r="L232" s="193" t="s">
        <v>259</v>
      </c>
      <c r="M232" s="598" t="s">
        <v>174</v>
      </c>
      <c r="N232" s="51" t="str">
        <f>IF(AND('331-CT'!$E$7=TH!H232,OR(L232="331",M232="331")),"331",IF(AND(OR(L232="131",M232="131"),H232='131-CT'!$E$7),"131",""))</f>
        <v/>
      </c>
      <c r="O232" s="891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/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>x</v>
      </c>
      <c r="AB232" s="924"/>
      <c r="AC232" s="589"/>
      <c r="AD232" s="589"/>
      <c r="AE232" s="589"/>
    </row>
    <row r="233" spans="1:31" s="210" customFormat="1" ht="15.75" hidden="1" customHeight="1">
      <c r="A233" s="203" t="str">
        <f>IF(B233&lt;&gt;"",IF(AND(B233&gt;=_TM1,B233&lt;=_TM2,OR(TH!L233="1111",TH!M233="1111")),TH!D233,""),"")</f>
        <v/>
      </c>
      <c r="B233" s="36">
        <f t="shared" si="24"/>
        <v>8</v>
      </c>
      <c r="C233" s="183">
        <f t="shared" si="27"/>
        <v>42592</v>
      </c>
      <c r="D233" s="183" t="s">
        <v>727</v>
      </c>
      <c r="E233" s="190">
        <v>42592</v>
      </c>
      <c r="F233" s="188" t="s">
        <v>435</v>
      </c>
      <c r="G233" s="479" t="s">
        <v>638</v>
      </c>
      <c r="H233" s="7" t="s">
        <v>429</v>
      </c>
      <c r="I233" s="255">
        <v>60</v>
      </c>
      <c r="J233" s="255">
        <v>20100</v>
      </c>
      <c r="K233" s="37">
        <f t="shared" si="26"/>
        <v>1206000</v>
      </c>
      <c r="L233" s="193" t="s">
        <v>259</v>
      </c>
      <c r="M233" s="598" t="s">
        <v>174</v>
      </c>
      <c r="N233" s="51" t="str">
        <f>IF(AND('331-CT'!$E$7=TH!H233,OR(L233="331",M233="331")),"331",IF(AND(OR(L233="131",M233="131"),H233='131-CT'!$E$7),"131",""))</f>
        <v/>
      </c>
      <c r="O233" s="891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>x</v>
      </c>
      <c r="AB233" s="923"/>
      <c r="AC233" s="589"/>
      <c r="AD233" s="589"/>
      <c r="AE233" s="589"/>
    </row>
    <row r="234" spans="1:31" s="210" customFormat="1" ht="15.75" hidden="1" customHeight="1">
      <c r="A234" s="203" t="str">
        <f>IF(B234&lt;&gt;"",IF(AND(B234&gt;=_TM1,B234&lt;=_TM2,OR(TH!L234="1111",TH!M234="1111")),TH!D234,""),"")</f>
        <v/>
      </c>
      <c r="B234" s="36">
        <f t="shared" si="24"/>
        <v>8</v>
      </c>
      <c r="C234" s="183">
        <f t="shared" si="27"/>
        <v>42592</v>
      </c>
      <c r="D234" s="183" t="s">
        <v>727</v>
      </c>
      <c r="E234" s="190">
        <v>42592</v>
      </c>
      <c r="F234" s="188" t="s">
        <v>586</v>
      </c>
      <c r="G234" s="479" t="s">
        <v>638</v>
      </c>
      <c r="H234" s="7" t="s">
        <v>429</v>
      </c>
      <c r="I234" s="255"/>
      <c r="J234" s="255"/>
      <c r="K234" s="37">
        <v>455600</v>
      </c>
      <c r="L234" s="193" t="s">
        <v>259</v>
      </c>
      <c r="M234" s="598" t="s">
        <v>370</v>
      </c>
      <c r="N234" s="51" t="str">
        <f>IF(AND('331-CT'!$E$7=TH!H234,OR(L234="331",M234="331")),"331",IF(AND(OR(L234="131",M234="131"),H234='131-CT'!$E$7),"131",""))</f>
        <v/>
      </c>
      <c r="O234" s="891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>x</v>
      </c>
      <c r="AB234" s="924"/>
      <c r="AC234" s="589"/>
      <c r="AD234" s="589"/>
      <c r="AE234" s="589"/>
    </row>
    <row r="235" spans="1:31" s="210" customFormat="1" ht="15.75" hidden="1" customHeight="1">
      <c r="A235" s="203" t="str">
        <f>IF(B235&lt;&gt;"",IF(AND(B235&gt;=_TM1,B235&lt;=_TM2,OR(TH!L235="1111",TH!M235="1111")),TH!D235,""),"")</f>
        <v/>
      </c>
      <c r="B235" s="36">
        <f t="shared" si="24"/>
        <v>8</v>
      </c>
      <c r="C235" s="183">
        <f t="shared" si="27"/>
        <v>42592</v>
      </c>
      <c r="D235" s="183" t="s">
        <v>728</v>
      </c>
      <c r="E235" s="190">
        <v>42592</v>
      </c>
      <c r="F235" s="188" t="s">
        <v>637</v>
      </c>
      <c r="G235" s="479" t="s">
        <v>639</v>
      </c>
      <c r="H235" s="192" t="s">
        <v>636</v>
      </c>
      <c r="I235" s="255">
        <v>403</v>
      </c>
      <c r="J235" s="255">
        <v>20000</v>
      </c>
      <c r="K235" s="37">
        <f t="shared" si="26"/>
        <v>8060000</v>
      </c>
      <c r="L235" s="193" t="s">
        <v>259</v>
      </c>
      <c r="M235" s="598" t="s">
        <v>174</v>
      </c>
      <c r="N235" s="51" t="str">
        <f>IF(AND('331-CT'!$E$7=TH!H235,OR(L235="331",M235="331")),"331",IF(AND(OR(L235="131",M235="131"),H235='131-CT'!$E$7),"131",""))</f>
        <v/>
      </c>
      <c r="O235" s="891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>x</v>
      </c>
      <c r="AB235" s="924"/>
      <c r="AC235" s="589"/>
      <c r="AD235" s="589"/>
      <c r="AE235" s="589"/>
    </row>
    <row r="236" spans="1:31" s="210" customFormat="1" ht="15.75" hidden="1" customHeight="1">
      <c r="A236" s="203" t="str">
        <f>IF(B236&lt;&gt;"",IF(AND(B236&gt;=_TM1,B236&lt;=_TM2,OR(TH!L236="1111",TH!M236="1111")),TH!D236,""),"")</f>
        <v/>
      </c>
      <c r="B236" s="36">
        <f t="shared" si="24"/>
        <v>8</v>
      </c>
      <c r="C236" s="183">
        <f t="shared" si="27"/>
        <v>42592</v>
      </c>
      <c r="D236" s="183" t="s">
        <v>728</v>
      </c>
      <c r="E236" s="190">
        <v>42592</v>
      </c>
      <c r="F236" s="188" t="s">
        <v>586</v>
      </c>
      <c r="G236" s="479" t="s">
        <v>639</v>
      </c>
      <c r="H236" s="192" t="s">
        <v>636</v>
      </c>
      <c r="I236" s="255"/>
      <c r="J236" s="255"/>
      <c r="K236" s="37">
        <v>806000</v>
      </c>
      <c r="L236" s="193" t="s">
        <v>259</v>
      </c>
      <c r="M236" s="598" t="s">
        <v>370</v>
      </c>
      <c r="N236" s="51" t="str">
        <f>IF(AND('331-CT'!$E$7=TH!H236,OR(L236="331",M236="331")),"331",IF(AND(OR(L236="131",M236="131"),H236='131-CT'!$E$7),"131",""))</f>
        <v/>
      </c>
      <c r="O236" s="891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>x</v>
      </c>
      <c r="AB236" s="924"/>
      <c r="AC236" s="589"/>
      <c r="AD236" s="589"/>
      <c r="AE236" s="589"/>
    </row>
    <row r="237" spans="1:31" s="210" customFormat="1" ht="15.75" hidden="1" customHeight="1">
      <c r="A237" s="203" t="str">
        <f>IF(B237&lt;&gt;"",IF(AND(B237&gt;=_TM1,B237&lt;=_TM2,OR(TH!L237="1111",TH!M237="1111")),TH!D237,""),"")</f>
        <v/>
      </c>
      <c r="B237" s="36">
        <f t="shared" si="24"/>
        <v>8</v>
      </c>
      <c r="C237" s="183">
        <f t="shared" si="27"/>
        <v>42594</v>
      </c>
      <c r="D237" s="183" t="s">
        <v>729</v>
      </c>
      <c r="E237" s="190">
        <v>42594</v>
      </c>
      <c r="F237" s="188" t="s">
        <v>585</v>
      </c>
      <c r="G237" s="479" t="s">
        <v>640</v>
      </c>
      <c r="H237" s="7" t="s">
        <v>428</v>
      </c>
      <c r="I237" s="255">
        <v>1330</v>
      </c>
      <c r="J237" s="255">
        <v>9360</v>
      </c>
      <c r="K237" s="37">
        <f t="shared" si="26"/>
        <v>12448800</v>
      </c>
      <c r="L237" s="193" t="s">
        <v>259</v>
      </c>
      <c r="M237" s="598" t="s">
        <v>174</v>
      </c>
      <c r="N237" s="51" t="str">
        <f>IF(AND('331-CT'!$E$7=TH!H237,OR(L237="331",M237="331")),"331",IF(AND(OR(L237="131",M237="131"),H237='131-CT'!$E$7),"131",""))</f>
        <v/>
      </c>
      <c r="O237" s="891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/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>x</v>
      </c>
      <c r="AB237" s="923"/>
      <c r="AC237" s="589"/>
      <c r="AD237" s="589"/>
      <c r="AE237" s="589"/>
    </row>
    <row r="238" spans="1:31" s="210" customFormat="1" ht="15.75" hidden="1" customHeight="1">
      <c r="A238" s="203" t="str">
        <f>IF(B238&lt;&gt;"",IF(AND(B238&gt;=_TM1,B238&lt;=_TM2,OR(TH!L238="1111",TH!M238="1111")),TH!D238,""),"")</f>
        <v/>
      </c>
      <c r="B238" s="36">
        <f t="shared" si="24"/>
        <v>8</v>
      </c>
      <c r="C238" s="183">
        <f t="shared" si="27"/>
        <v>42594</v>
      </c>
      <c r="D238" s="183" t="s">
        <v>729</v>
      </c>
      <c r="E238" s="190">
        <v>42594</v>
      </c>
      <c r="F238" s="188" t="s">
        <v>585</v>
      </c>
      <c r="G238" s="479" t="s">
        <v>640</v>
      </c>
      <c r="H238" s="7" t="s">
        <v>428</v>
      </c>
      <c r="I238" s="255">
        <v>80</v>
      </c>
      <c r="J238" s="255">
        <v>9200</v>
      </c>
      <c r="K238" s="37">
        <f t="shared" si="26"/>
        <v>736000</v>
      </c>
      <c r="L238" s="193" t="s">
        <v>259</v>
      </c>
      <c r="M238" s="598" t="s">
        <v>174</v>
      </c>
      <c r="N238" s="51" t="str">
        <f>IF(AND('331-CT'!$E$7=TH!H238,OR(L238="331",M238="331")),"331",IF(AND(OR(L238="131",M238="131"),H238='131-CT'!$E$7),"131",""))</f>
        <v/>
      </c>
      <c r="O238" s="891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/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>x</v>
      </c>
      <c r="AB238" s="924"/>
      <c r="AC238" s="589"/>
      <c r="AD238" s="589"/>
      <c r="AE238" s="589"/>
    </row>
    <row r="239" spans="1:31" s="210" customFormat="1" ht="15.75" hidden="1" customHeight="1">
      <c r="A239" s="203" t="str">
        <f>IF(B239&lt;&gt;"",IF(AND(B239&gt;=_TM1,B239&lt;=_TM2,OR(TH!L239="1111",TH!M239="1111")),TH!D239,""),"")</f>
        <v/>
      </c>
      <c r="B239" s="36">
        <f t="shared" si="24"/>
        <v>8</v>
      </c>
      <c r="C239" s="183">
        <f t="shared" si="27"/>
        <v>42594</v>
      </c>
      <c r="D239" s="183" t="s">
        <v>729</v>
      </c>
      <c r="E239" s="190">
        <v>42594</v>
      </c>
      <c r="F239" s="188" t="s">
        <v>585</v>
      </c>
      <c r="G239" s="479" t="s">
        <v>640</v>
      </c>
      <c r="H239" s="7" t="s">
        <v>428</v>
      </c>
      <c r="I239" s="255">
        <v>35</v>
      </c>
      <c r="J239" s="255">
        <v>9300</v>
      </c>
      <c r="K239" s="37">
        <f t="shared" si="26"/>
        <v>325500</v>
      </c>
      <c r="L239" s="193" t="s">
        <v>259</v>
      </c>
      <c r="M239" s="598" t="s">
        <v>174</v>
      </c>
      <c r="N239" s="51" t="str">
        <f>IF(AND('331-CT'!$E$7=TH!H239,OR(L239="331",M239="331")),"331",IF(AND(OR(L239="131",M239="131"),H239='131-CT'!$E$7),"131",""))</f>
        <v/>
      </c>
      <c r="O239" s="891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/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>x</v>
      </c>
      <c r="AB239" s="924"/>
      <c r="AC239" s="589"/>
      <c r="AD239" s="589"/>
    </row>
    <row r="240" spans="1:31" s="210" customFormat="1" ht="15.75" hidden="1" customHeight="1">
      <c r="A240" s="203" t="str">
        <f>IF(B240&lt;&gt;"",IF(AND(B240&gt;=_TM1,B240&lt;=_TM2,OR(TH!L240="1111",TH!M240="1111")),TH!D240,""),"")</f>
        <v/>
      </c>
      <c r="B240" s="36">
        <f t="shared" si="24"/>
        <v>8</v>
      </c>
      <c r="C240" s="183">
        <f t="shared" si="27"/>
        <v>42594</v>
      </c>
      <c r="D240" s="183" t="s">
        <v>729</v>
      </c>
      <c r="E240" s="190">
        <v>42594</v>
      </c>
      <c r="F240" s="188" t="s">
        <v>585</v>
      </c>
      <c r="G240" s="479" t="s">
        <v>640</v>
      </c>
      <c r="H240" s="7" t="s">
        <v>428</v>
      </c>
      <c r="I240" s="255">
        <v>90</v>
      </c>
      <c r="J240" s="255">
        <v>7500</v>
      </c>
      <c r="K240" s="37">
        <f t="shared" si="26"/>
        <v>675000</v>
      </c>
      <c r="L240" s="193" t="s">
        <v>259</v>
      </c>
      <c r="M240" s="598" t="s">
        <v>174</v>
      </c>
      <c r="N240" s="51" t="str">
        <f>IF(AND('331-CT'!$E$7=TH!H240,OR(L240="331",M240="331")),"331",IF(AND(OR(L240="131",M240="131"),H240='131-CT'!$E$7),"131",""))</f>
        <v/>
      </c>
      <c r="O240" s="891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/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/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>x</v>
      </c>
      <c r="AB240" s="924"/>
      <c r="AC240" s="589"/>
      <c r="AD240" s="589"/>
    </row>
    <row r="241" spans="1:31" s="210" customFormat="1" ht="15.75" hidden="1" customHeight="1">
      <c r="A241" s="203" t="str">
        <f>IF(B241&lt;&gt;"",IF(AND(B241&gt;=_TM1,B241&lt;=_TM2,OR(TH!L241="1111",TH!M241="1111")),TH!D241,""),"")</f>
        <v/>
      </c>
      <c r="B241" s="36">
        <f t="shared" si="24"/>
        <v>8</v>
      </c>
      <c r="C241" s="183">
        <f t="shared" si="27"/>
        <v>42594</v>
      </c>
      <c r="D241" s="183" t="s">
        <v>729</v>
      </c>
      <c r="E241" s="190">
        <v>42594</v>
      </c>
      <c r="F241" s="188" t="s">
        <v>585</v>
      </c>
      <c r="G241" s="479" t="s">
        <v>640</v>
      </c>
      <c r="H241" s="7" t="s">
        <v>428</v>
      </c>
      <c r="I241" s="255">
        <v>650</v>
      </c>
      <c r="J241" s="255">
        <v>6200</v>
      </c>
      <c r="K241" s="37">
        <f t="shared" si="26"/>
        <v>4030000</v>
      </c>
      <c r="L241" s="193" t="s">
        <v>259</v>
      </c>
      <c r="M241" s="598" t="s">
        <v>174</v>
      </c>
      <c r="N241" s="51" t="str">
        <f>IF(AND('331-CT'!$E$7=TH!H241,OR(L241="331",M241="331")),"331",IF(AND(OR(L241="131",M241="131"),H241='131-CT'!$E$7),"131",""))</f>
        <v/>
      </c>
      <c r="O241" s="891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/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>x</v>
      </c>
      <c r="AB241" s="924"/>
      <c r="AC241" s="589"/>
      <c r="AD241" s="589"/>
    </row>
    <row r="242" spans="1:31" s="210" customFormat="1" ht="15.75" hidden="1" customHeight="1">
      <c r="A242" s="203" t="str">
        <f>IF(B242&lt;&gt;"",IF(AND(B242&gt;=_TM1,B242&lt;=_TM2,OR(TH!L242="1111",TH!M242="1111")),TH!D242,""),"")</f>
        <v/>
      </c>
      <c r="B242" s="36">
        <f t="shared" si="24"/>
        <v>8</v>
      </c>
      <c r="C242" s="183">
        <f t="shared" si="27"/>
        <v>42594</v>
      </c>
      <c r="D242" s="183" t="s">
        <v>729</v>
      </c>
      <c r="E242" s="190">
        <v>42594</v>
      </c>
      <c r="F242" s="188" t="s">
        <v>585</v>
      </c>
      <c r="G242" s="479" t="s">
        <v>640</v>
      </c>
      <c r="H242" s="7" t="s">
        <v>428</v>
      </c>
      <c r="I242" s="255">
        <v>210</v>
      </c>
      <c r="J242" s="255">
        <v>9500</v>
      </c>
      <c r="K242" s="37">
        <f t="shared" si="26"/>
        <v>1995000</v>
      </c>
      <c r="L242" s="193" t="s">
        <v>259</v>
      </c>
      <c r="M242" s="598" t="s">
        <v>174</v>
      </c>
      <c r="N242" s="51" t="str">
        <f>IF(AND('331-CT'!$E$7=TH!H242,OR(L242="331",M242="331")),"331",IF(AND(OR(L242="131",M242="131"),H242='131-CT'!$E$7),"131",""))</f>
        <v/>
      </c>
      <c r="O242" s="891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/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>x</v>
      </c>
      <c r="AB242" s="924"/>
      <c r="AC242" s="589"/>
    </row>
    <row r="243" spans="1:31" s="210" customFormat="1" ht="15.75" hidden="1" customHeight="1">
      <c r="A243" s="203" t="str">
        <f>IF(B243&lt;&gt;"",IF(AND(B243&gt;=_TM1,B243&lt;=_TM2,OR(TH!L243="1111",TH!M243="1111")),TH!D243,""),"")</f>
        <v/>
      </c>
      <c r="B243" s="36">
        <f t="shared" si="24"/>
        <v>8</v>
      </c>
      <c r="C243" s="183">
        <f t="shared" si="27"/>
        <v>42594</v>
      </c>
      <c r="D243" s="183" t="s">
        <v>729</v>
      </c>
      <c r="E243" s="190">
        <v>42594</v>
      </c>
      <c r="F243" s="188" t="s">
        <v>586</v>
      </c>
      <c r="G243" s="479" t="s">
        <v>640</v>
      </c>
      <c r="H243" s="7" t="s">
        <v>428</v>
      </c>
      <c r="I243" s="255"/>
      <c r="J243" s="255"/>
      <c r="K243" s="37">
        <v>2021030</v>
      </c>
      <c r="L243" s="193" t="s">
        <v>259</v>
      </c>
      <c r="M243" s="598" t="s">
        <v>370</v>
      </c>
      <c r="N243" s="51" t="str">
        <f>IF(AND('331-CT'!$E$7=TH!H243,OR(L243="331",M243="331")),"331",IF(AND(OR(L243="131",M243="131"),H243='131-CT'!$E$7),"131",""))</f>
        <v/>
      </c>
      <c r="O243" s="891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>x</v>
      </c>
      <c r="AB243" s="924"/>
      <c r="AC243" s="589"/>
      <c r="AD243" s="589"/>
    </row>
    <row r="244" spans="1:31" s="210" customFormat="1" ht="15.75" hidden="1" customHeight="1">
      <c r="A244" s="203" t="str">
        <f>IF(B244&lt;&gt;"",IF(AND(B244&gt;=_TM1,B244&lt;=_TM2,OR(TH!L244="1111",TH!M244="1111")),TH!D244,""),"")</f>
        <v/>
      </c>
      <c r="B244" s="36">
        <f t="shared" si="24"/>
        <v>8</v>
      </c>
      <c r="C244" s="183">
        <f t="shared" si="27"/>
        <v>42597</v>
      </c>
      <c r="D244" s="183" t="s">
        <v>730</v>
      </c>
      <c r="E244" s="190">
        <v>42597</v>
      </c>
      <c r="F244" s="188" t="s">
        <v>642</v>
      </c>
      <c r="G244" s="479" t="s">
        <v>641</v>
      </c>
      <c r="H244" s="7" t="s">
        <v>773</v>
      </c>
      <c r="I244" s="255">
        <v>429</v>
      </c>
      <c r="J244" s="255">
        <v>6000</v>
      </c>
      <c r="K244" s="37">
        <f t="shared" si="26"/>
        <v>2574000</v>
      </c>
      <c r="L244" s="193" t="s">
        <v>259</v>
      </c>
      <c r="M244" s="598" t="s">
        <v>174</v>
      </c>
      <c r="N244" s="51" t="str">
        <f>IF(AND('331-CT'!$E$7=TH!H244,OR(L244="331",M244="331")),"331",IF(AND(OR(L244="131",M244="131"),H244='131-CT'!$E$7),"131",""))</f>
        <v/>
      </c>
      <c r="O244" s="891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/>
      </c>
      <c r="Z244" s="51" t="str">
        <f>IF(AND(OR(LEFT(TH!L244,2)="15",LEFT(TH!M244,2)="15"),TK!$E$7=TH!F244),"x","")</f>
        <v/>
      </c>
      <c r="AA244" s="51" t="str">
        <f>IF(AND(B244&lt;=NKC!$N$8,B244&gt;=NKC!$M$8),"x","")</f>
        <v>x</v>
      </c>
      <c r="AB244" s="924"/>
      <c r="AC244" s="589"/>
    </row>
    <row r="245" spans="1:31" s="210" customFormat="1" ht="15.75" hidden="1" customHeight="1">
      <c r="A245" s="203" t="str">
        <f>IF(B245&lt;&gt;"",IF(AND(B245&gt;=_TM1,B245&lt;=_TM2,OR(TH!L245="1111",TH!M245="1111")),TH!D245,""),"")</f>
        <v/>
      </c>
      <c r="B245" s="36">
        <f t="shared" si="24"/>
        <v>8</v>
      </c>
      <c r="C245" s="183">
        <f t="shared" si="27"/>
        <v>42597</v>
      </c>
      <c r="D245" s="183" t="s">
        <v>730</v>
      </c>
      <c r="E245" s="190">
        <v>42597</v>
      </c>
      <c r="F245" s="188" t="s">
        <v>643</v>
      </c>
      <c r="G245" s="479" t="s">
        <v>641</v>
      </c>
      <c r="H245" s="7" t="s">
        <v>773</v>
      </c>
      <c r="I245" s="255">
        <v>370</v>
      </c>
      <c r="J245" s="255">
        <v>6600</v>
      </c>
      <c r="K245" s="37">
        <f t="shared" si="26"/>
        <v>2442000</v>
      </c>
      <c r="L245" s="193" t="s">
        <v>259</v>
      </c>
      <c r="M245" s="598" t="s">
        <v>174</v>
      </c>
      <c r="N245" s="51" t="str">
        <f>IF(AND('331-CT'!$E$7=TH!H245,OR(L245="331",M245="331")),"331",IF(AND(OR(L245="131",M245="131"),H245='131-CT'!$E$7),"131",""))</f>
        <v/>
      </c>
      <c r="O245" s="891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>x</v>
      </c>
      <c r="AB245" s="924"/>
      <c r="AC245" s="589"/>
      <c r="AD245" s="589"/>
    </row>
    <row r="246" spans="1:31" s="210" customFormat="1" ht="15.75" hidden="1" customHeight="1">
      <c r="A246" s="203" t="str">
        <f>IF(B246&lt;&gt;"",IF(AND(B246&gt;=_TM1,B246&lt;=_TM2,OR(TH!L246="1111",TH!M246="1111")),TH!D246,""),"")</f>
        <v/>
      </c>
      <c r="B246" s="36">
        <f t="shared" ref="B246:B308" si="28">IF(C246&lt;&gt;"",MONTH(C246),"")</f>
        <v>8</v>
      </c>
      <c r="C246" s="183">
        <f t="shared" si="27"/>
        <v>42597</v>
      </c>
      <c r="D246" s="183" t="s">
        <v>730</v>
      </c>
      <c r="E246" s="190">
        <v>42597</v>
      </c>
      <c r="F246" s="188" t="s">
        <v>586</v>
      </c>
      <c r="G246" s="479" t="s">
        <v>641</v>
      </c>
      <c r="H246" s="7" t="s">
        <v>773</v>
      </c>
      <c r="I246" s="255"/>
      <c r="J246" s="255"/>
      <c r="K246" s="37">
        <v>501600</v>
      </c>
      <c r="L246" s="193" t="s">
        <v>259</v>
      </c>
      <c r="M246" s="598" t="s">
        <v>370</v>
      </c>
      <c r="N246" s="51" t="str">
        <f>IF(AND('331-CT'!$E$7=TH!H246,OR(L246="331",M246="331")),"331",IF(AND(OR(L246="131",M246="131"),H246='131-CT'!$E$7),"131",""))</f>
        <v/>
      </c>
      <c r="O246" s="891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>x</v>
      </c>
      <c r="AB246" s="924"/>
      <c r="AC246" s="589"/>
    </row>
    <row r="247" spans="1:31" s="210" customFormat="1" ht="15.75" hidden="1" customHeight="1">
      <c r="A247" s="203" t="str">
        <f>IF(B247&lt;&gt;"",IF(AND(B247&gt;=_TM1,B247&lt;=_TM2,OR(TH!L247="1111",TH!M247="1111")),TH!D247,""),"")</f>
        <v/>
      </c>
      <c r="B247" s="36">
        <f t="shared" si="28"/>
        <v>8</v>
      </c>
      <c r="C247" s="183">
        <f t="shared" si="27"/>
        <v>42597</v>
      </c>
      <c r="D247" s="183" t="s">
        <v>731</v>
      </c>
      <c r="E247" s="190">
        <v>42597</v>
      </c>
      <c r="F247" s="188" t="s">
        <v>645</v>
      </c>
      <c r="G247" s="479" t="s">
        <v>644</v>
      </c>
      <c r="H247" s="7" t="s">
        <v>426</v>
      </c>
      <c r="I247" s="255">
        <v>130</v>
      </c>
      <c r="J247" s="255">
        <v>47449</v>
      </c>
      <c r="K247" s="37">
        <f t="shared" si="26"/>
        <v>6168370</v>
      </c>
      <c r="L247" s="193" t="s">
        <v>259</v>
      </c>
      <c r="M247" s="598" t="s">
        <v>174</v>
      </c>
      <c r="N247" s="51" t="str">
        <f>IF(AND('331-CT'!$E$7=TH!H247,OR(L247="331",M247="331")),"331",IF(AND(OR(L247="131",M247="131"),H247='131-CT'!$E$7),"131",""))</f>
        <v/>
      </c>
      <c r="O247" s="891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>x</v>
      </c>
      <c r="AB247" s="924"/>
      <c r="AC247" s="589"/>
      <c r="AD247" s="589"/>
    </row>
    <row r="248" spans="1:31" s="210" customFormat="1" ht="15.75" hidden="1" customHeight="1">
      <c r="A248" s="203" t="str">
        <f>IF(B248&lt;&gt;"",IF(AND(B248&gt;=_TM1,B248&lt;=_TM2,OR(TH!L248="1111",TH!M248="1111")),TH!D248,""),"")</f>
        <v/>
      </c>
      <c r="B248" s="36">
        <f t="shared" si="28"/>
        <v>8</v>
      </c>
      <c r="C248" s="183">
        <f t="shared" si="27"/>
        <v>42597</v>
      </c>
      <c r="D248" s="183" t="s">
        <v>731</v>
      </c>
      <c r="E248" s="190">
        <v>42597</v>
      </c>
      <c r="F248" s="188" t="s">
        <v>586</v>
      </c>
      <c r="G248" s="479" t="s">
        <v>644</v>
      </c>
      <c r="H248" s="7" t="s">
        <v>426</v>
      </c>
      <c r="I248" s="255"/>
      <c r="J248" s="255"/>
      <c r="K248" s="37">
        <v>616837</v>
      </c>
      <c r="L248" s="193" t="s">
        <v>259</v>
      </c>
      <c r="M248" s="598" t="s">
        <v>370</v>
      </c>
      <c r="N248" s="51" t="str">
        <f>IF(AND('331-CT'!$E$7=TH!H248,OR(L248="331",M248="331")),"331",IF(AND(OR(L248="131",M248="131"),H248='131-CT'!$E$7),"131",""))</f>
        <v/>
      </c>
      <c r="O248" s="891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>x</v>
      </c>
      <c r="AB248" s="924"/>
      <c r="AC248" s="589"/>
      <c r="AD248" s="589"/>
      <c r="AE248" s="589"/>
    </row>
    <row r="249" spans="1:31" s="210" customFormat="1" ht="15.75" hidden="1" customHeight="1">
      <c r="A249" s="203" t="str">
        <f>IF(B249&lt;&gt;"",IF(AND(B249&gt;=_TM1,B249&lt;=_TM2,OR(TH!L249="1111",TH!M249="1111")),TH!D249,""),"")</f>
        <v/>
      </c>
      <c r="B249" s="36">
        <f t="shared" si="28"/>
        <v>8</v>
      </c>
      <c r="C249" s="183">
        <f t="shared" si="27"/>
        <v>42599</v>
      </c>
      <c r="D249" s="183" t="s">
        <v>732</v>
      </c>
      <c r="E249" s="190">
        <v>42599</v>
      </c>
      <c r="F249" s="188" t="s">
        <v>647</v>
      </c>
      <c r="G249" s="479" t="s">
        <v>646</v>
      </c>
      <c r="H249" s="7" t="s">
        <v>423</v>
      </c>
      <c r="I249" s="255">
        <v>309</v>
      </c>
      <c r="J249" s="255">
        <v>7500</v>
      </c>
      <c r="K249" s="37">
        <f t="shared" si="26"/>
        <v>2317500</v>
      </c>
      <c r="L249" s="193" t="s">
        <v>259</v>
      </c>
      <c r="M249" s="598" t="s">
        <v>174</v>
      </c>
      <c r="N249" s="51" t="str">
        <f>IF(AND('331-CT'!$E$7=TH!H249,OR(L249="331",M249="331")),"331",IF(AND(OR(L249="131",M249="131"),H249='131-CT'!$E$7),"131",""))</f>
        <v/>
      </c>
      <c r="O249" s="891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>x</v>
      </c>
      <c r="AB249" s="923"/>
      <c r="AC249" s="589"/>
    </row>
    <row r="250" spans="1:31" s="210" customFormat="1" ht="15.75" hidden="1" customHeight="1">
      <c r="A250" s="203" t="str">
        <f>IF(B250&lt;&gt;"",IF(AND(B250&gt;=_TM1,B250&lt;=_TM2,OR(TH!L250="1111",TH!M250="1111")),TH!D250,""),"")</f>
        <v/>
      </c>
      <c r="B250" s="36">
        <f t="shared" si="28"/>
        <v>8</v>
      </c>
      <c r="C250" s="183">
        <f t="shared" si="27"/>
        <v>42599</v>
      </c>
      <c r="D250" s="183" t="s">
        <v>732</v>
      </c>
      <c r="E250" s="190">
        <v>42599</v>
      </c>
      <c r="F250" s="188" t="s">
        <v>586</v>
      </c>
      <c r="G250" s="479" t="s">
        <v>646</v>
      </c>
      <c r="H250" s="7" t="s">
        <v>423</v>
      </c>
      <c r="I250" s="255"/>
      <c r="J250" s="255"/>
      <c r="K250" s="37">
        <v>231750</v>
      </c>
      <c r="L250" s="193" t="s">
        <v>259</v>
      </c>
      <c r="M250" s="598" t="s">
        <v>370</v>
      </c>
      <c r="N250" s="51" t="str">
        <f>IF(AND('331-CT'!$E$7=TH!H250,OR(L250="331",M250="331")),"331",IF(AND(OR(L250="131",M250="131"),H250='131-CT'!$E$7),"131",""))</f>
        <v/>
      </c>
      <c r="O250" s="891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/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>x</v>
      </c>
      <c r="AB250" s="924"/>
      <c r="AC250" s="589"/>
      <c r="AD250" s="589"/>
      <c r="AE250" s="589"/>
    </row>
    <row r="251" spans="1:31" s="210" customFormat="1" ht="15.75" hidden="1" customHeight="1">
      <c r="A251" s="203" t="str">
        <f>IF(B251&lt;&gt;"",IF(AND(B251&gt;=_TM1,B251&lt;=_TM2,OR(TH!L251="1111",TH!M251="1111")),TH!D251,""),"")</f>
        <v/>
      </c>
      <c r="B251" s="36">
        <f t="shared" si="28"/>
        <v>8</v>
      </c>
      <c r="C251" s="183">
        <f t="shared" si="27"/>
        <v>42599</v>
      </c>
      <c r="D251" s="183" t="s">
        <v>733</v>
      </c>
      <c r="E251" s="190">
        <v>42599</v>
      </c>
      <c r="F251" s="188" t="s">
        <v>649</v>
      </c>
      <c r="G251" s="479" t="s">
        <v>648</v>
      </c>
      <c r="H251" s="7" t="s">
        <v>769</v>
      </c>
      <c r="I251" s="255">
        <v>19</v>
      </c>
      <c r="J251" s="255">
        <v>10800</v>
      </c>
      <c r="K251" s="37">
        <f t="shared" si="26"/>
        <v>205200</v>
      </c>
      <c r="L251" s="193" t="s">
        <v>259</v>
      </c>
      <c r="M251" s="598" t="s">
        <v>174</v>
      </c>
      <c r="N251" s="51" t="str">
        <f>IF(AND('331-CT'!$E$7=TH!H251,OR(L251="331",M251="331")),"331",IF(AND(OR(L251="131",M251="131"),H251='131-CT'!$E$7),"131",""))</f>
        <v/>
      </c>
      <c r="O251" s="891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>x</v>
      </c>
      <c r="AB251" s="923"/>
      <c r="AC251" s="589"/>
      <c r="AD251" s="589"/>
      <c r="AE251" s="589"/>
    </row>
    <row r="252" spans="1:31" s="210" customFormat="1" ht="15.75" hidden="1" customHeight="1">
      <c r="A252" s="203" t="str">
        <f>IF(B252&lt;&gt;"",IF(AND(B252&gt;=_TM1,B252&lt;=_TM2,OR(TH!L252="1111",TH!M252="1111")),TH!D252,""),"")</f>
        <v/>
      </c>
      <c r="B252" s="36">
        <f t="shared" si="28"/>
        <v>8</v>
      </c>
      <c r="C252" s="183">
        <f t="shared" si="27"/>
        <v>42599</v>
      </c>
      <c r="D252" s="183" t="s">
        <v>733</v>
      </c>
      <c r="E252" s="190">
        <v>42599</v>
      </c>
      <c r="F252" s="188" t="s">
        <v>650</v>
      </c>
      <c r="G252" s="479" t="s">
        <v>648</v>
      </c>
      <c r="H252" s="7" t="s">
        <v>769</v>
      </c>
      <c r="I252" s="255">
        <v>206</v>
      </c>
      <c r="J252" s="255">
        <v>9300</v>
      </c>
      <c r="K252" s="37">
        <f t="shared" si="26"/>
        <v>1915800</v>
      </c>
      <c r="L252" s="193" t="s">
        <v>259</v>
      </c>
      <c r="M252" s="598" t="s">
        <v>174</v>
      </c>
      <c r="N252" s="51" t="str">
        <f>IF(AND('331-CT'!$E$7=TH!H252,OR(L252="331",M252="331")),"331",IF(AND(OR(L252="131",M252="131"),H252='131-CT'!$E$7),"131",""))</f>
        <v/>
      </c>
      <c r="O252" s="891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>x</v>
      </c>
      <c r="AB252" s="924"/>
      <c r="AC252" s="589"/>
      <c r="AD252" s="589"/>
      <c r="AE252" s="589"/>
    </row>
    <row r="253" spans="1:31" s="210" customFormat="1" ht="15.75" hidden="1" customHeight="1">
      <c r="A253" s="203" t="str">
        <f>IF(B253&lt;&gt;"",IF(AND(B253&gt;=_TM1,B253&lt;=_TM2,OR(TH!L253="1111",TH!M253="1111")),TH!D253,""),"")</f>
        <v/>
      </c>
      <c r="B253" s="36">
        <f t="shared" si="28"/>
        <v>8</v>
      </c>
      <c r="C253" s="183">
        <f t="shared" si="27"/>
        <v>42599</v>
      </c>
      <c r="D253" s="183" t="s">
        <v>733</v>
      </c>
      <c r="E253" s="190">
        <v>42599</v>
      </c>
      <c r="F253" s="188" t="s">
        <v>586</v>
      </c>
      <c r="G253" s="479" t="s">
        <v>648</v>
      </c>
      <c r="H253" s="7" t="s">
        <v>769</v>
      </c>
      <c r="I253" s="255"/>
      <c r="J253" s="255"/>
      <c r="K253" s="37">
        <v>212100</v>
      </c>
      <c r="L253" s="193" t="s">
        <v>259</v>
      </c>
      <c r="M253" s="598" t="s">
        <v>370</v>
      </c>
      <c r="N253" s="51" t="str">
        <f>IF(AND('331-CT'!$E$7=TH!H253,OR(L253="331",M253="331")),"331",IF(AND(OR(L253="131",M253="131"),H253='131-CT'!$E$7),"131",""))</f>
        <v/>
      </c>
      <c r="O253" s="891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>x</v>
      </c>
      <c r="AB253" s="924"/>
      <c r="AC253" s="589"/>
      <c r="AD253" s="589"/>
      <c r="AE253" s="589"/>
    </row>
    <row r="254" spans="1:31" s="210" customFormat="1" ht="15.75" hidden="1" customHeight="1">
      <c r="A254" s="203" t="str">
        <f>IF(B254&lt;&gt;"",IF(AND(B254&gt;=_TM1,B254&lt;=_TM2,OR(TH!L254="1111",TH!M254="1111")),TH!D254,""),"")</f>
        <v/>
      </c>
      <c r="B254" s="36">
        <f t="shared" si="28"/>
        <v>8</v>
      </c>
      <c r="C254" s="183">
        <f t="shared" si="27"/>
        <v>42601</v>
      </c>
      <c r="D254" s="183" t="s">
        <v>734</v>
      </c>
      <c r="E254" s="190">
        <v>42601</v>
      </c>
      <c r="F254" s="188" t="s">
        <v>650</v>
      </c>
      <c r="G254" s="479" t="s">
        <v>651</v>
      </c>
      <c r="H254" s="7" t="s">
        <v>701</v>
      </c>
      <c r="I254" s="255">
        <v>166</v>
      </c>
      <c r="J254" s="255">
        <v>10200</v>
      </c>
      <c r="K254" s="37">
        <f t="shared" si="26"/>
        <v>1693200</v>
      </c>
      <c r="L254" s="193" t="s">
        <v>259</v>
      </c>
      <c r="M254" s="598" t="s">
        <v>174</v>
      </c>
      <c r="N254" s="51" t="str">
        <f>IF(AND('331-CT'!$E$7=TH!H254,OR(L254="331",M254="331")),"331",IF(AND(OR(L254="131",M254="131"),H254='131-CT'!$E$7),"131",""))</f>
        <v/>
      </c>
      <c r="O254" s="891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>x</v>
      </c>
      <c r="AB254" s="923"/>
      <c r="AC254" s="589"/>
      <c r="AD254" s="589"/>
      <c r="AE254" s="589"/>
    </row>
    <row r="255" spans="1:31" s="210" customFormat="1" ht="15.75" hidden="1" customHeight="1">
      <c r="A255" s="203" t="str">
        <f>IF(B255&lt;&gt;"",IF(AND(B255&gt;=_TM1,B255&lt;=_TM2,OR(TH!L255="1111",TH!M255="1111")),TH!D255,""),"")</f>
        <v/>
      </c>
      <c r="B255" s="36">
        <f t="shared" si="28"/>
        <v>8</v>
      </c>
      <c r="C255" s="183">
        <f t="shared" si="27"/>
        <v>42601</v>
      </c>
      <c r="D255" s="183" t="s">
        <v>734</v>
      </c>
      <c r="E255" s="190">
        <v>42601</v>
      </c>
      <c r="F255" s="188" t="s">
        <v>652</v>
      </c>
      <c r="G255" s="479" t="s">
        <v>651</v>
      </c>
      <c r="H255" s="7" t="s">
        <v>701</v>
      </c>
      <c r="I255" s="255"/>
      <c r="J255" s="255"/>
      <c r="K255" s="37">
        <v>169320</v>
      </c>
      <c r="L255" s="193" t="s">
        <v>259</v>
      </c>
      <c r="M255" s="598" t="s">
        <v>370</v>
      </c>
      <c r="N255" s="51" t="str">
        <f>IF(AND('331-CT'!$E$7=TH!H255,OR(L255="331",M255="331")),"331",IF(AND(OR(L255="131",M255="131"),H255='131-CT'!$E$7),"131",""))</f>
        <v/>
      </c>
      <c r="O255" s="891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/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>x</v>
      </c>
      <c r="AB255" s="924"/>
      <c r="AC255" s="589"/>
      <c r="AD255" s="589"/>
      <c r="AE255" s="589"/>
    </row>
    <row r="256" spans="1:31" s="210" customFormat="1" ht="15.75" hidden="1" customHeight="1">
      <c r="A256" s="203" t="str">
        <f>IF(B256&lt;&gt;"",IF(AND(B256&gt;=_TM1,B256&lt;=_TM2,OR(TH!L256="1111",TH!M256="1111")),TH!D256,""),"")</f>
        <v/>
      </c>
      <c r="B256" s="36">
        <f t="shared" si="28"/>
        <v>8</v>
      </c>
      <c r="C256" s="183">
        <f t="shared" si="27"/>
        <v>42602</v>
      </c>
      <c r="D256" s="183" t="s">
        <v>735</v>
      </c>
      <c r="E256" s="190">
        <v>42602</v>
      </c>
      <c r="F256" s="188" t="s">
        <v>608</v>
      </c>
      <c r="G256" s="479" t="s">
        <v>653</v>
      </c>
      <c r="H256" s="7" t="s">
        <v>771</v>
      </c>
      <c r="I256" s="255">
        <f>620+320</f>
        <v>940</v>
      </c>
      <c r="J256" s="255">
        <v>5900</v>
      </c>
      <c r="K256" s="37">
        <f t="shared" si="26"/>
        <v>5546000</v>
      </c>
      <c r="L256" s="193" t="s">
        <v>259</v>
      </c>
      <c r="M256" s="598" t="s">
        <v>174</v>
      </c>
      <c r="N256" s="51" t="str">
        <f>IF(AND('331-CT'!$E$7=TH!H256,OR(L256="331",M256="331")),"331",IF(AND(OR(L256="131",M256="131"),H256='131-CT'!$E$7),"131",""))</f>
        <v/>
      </c>
      <c r="O256" s="891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/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/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>x</v>
      </c>
      <c r="AB256" s="924"/>
      <c r="AC256" s="589"/>
      <c r="AD256" s="589"/>
      <c r="AE256" s="589"/>
    </row>
    <row r="257" spans="1:31" s="210" customFormat="1" ht="15.75" hidden="1" customHeight="1">
      <c r="A257" s="203" t="str">
        <f>IF(B257&lt;&gt;"",IF(AND(B257&gt;=_TM1,B257&lt;=_TM2,OR(TH!L257="1111",TH!M257="1111")),TH!D257,""),"")</f>
        <v/>
      </c>
      <c r="B257" s="36">
        <f t="shared" si="28"/>
        <v>8</v>
      </c>
      <c r="C257" s="183">
        <f t="shared" si="27"/>
        <v>42602</v>
      </c>
      <c r="D257" s="183" t="s">
        <v>735</v>
      </c>
      <c r="E257" s="190">
        <v>42602</v>
      </c>
      <c r="F257" s="188" t="s">
        <v>586</v>
      </c>
      <c r="G257" s="479" t="s">
        <v>653</v>
      </c>
      <c r="H257" s="7" t="s">
        <v>771</v>
      </c>
      <c r="I257" s="255"/>
      <c r="J257" s="255"/>
      <c r="K257" s="37">
        <v>554600</v>
      </c>
      <c r="L257" s="193" t="s">
        <v>259</v>
      </c>
      <c r="M257" s="598" t="s">
        <v>370</v>
      </c>
      <c r="N257" s="51" t="str">
        <f>IF(AND('331-CT'!$E$7=TH!H257,OR(L257="331",M257="331")),"331",IF(AND(OR(L257="131",M257="131"),H257='131-CT'!$E$7),"131",""))</f>
        <v/>
      </c>
      <c r="O257" s="891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/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>x</v>
      </c>
      <c r="AB257" s="924"/>
      <c r="AC257" s="589"/>
      <c r="AD257" s="589"/>
      <c r="AE257" s="589"/>
    </row>
    <row r="258" spans="1:31" s="210" customFormat="1" ht="15.75" hidden="1" customHeight="1">
      <c r="A258" s="203" t="str">
        <f>IF(B258&lt;&gt;"",IF(AND(B258&gt;=_TM1,B258&lt;=_TM2,OR(TH!L258="1111",TH!M258="1111")),TH!D258,""),"")</f>
        <v/>
      </c>
      <c r="B258" s="36">
        <f t="shared" si="28"/>
        <v>8</v>
      </c>
      <c r="C258" s="183">
        <f t="shared" si="27"/>
        <v>42605</v>
      </c>
      <c r="D258" s="183" t="s">
        <v>736</v>
      </c>
      <c r="E258" s="190">
        <v>42605</v>
      </c>
      <c r="F258" s="188" t="s">
        <v>585</v>
      </c>
      <c r="G258" s="479" t="s">
        <v>654</v>
      </c>
      <c r="H258" s="7" t="s">
        <v>426</v>
      </c>
      <c r="I258" s="255">
        <v>58</v>
      </c>
      <c r="J258" s="255">
        <v>16070</v>
      </c>
      <c r="K258" s="37">
        <f t="shared" si="26"/>
        <v>932060</v>
      </c>
      <c r="L258" s="193" t="s">
        <v>259</v>
      </c>
      <c r="M258" s="598" t="s">
        <v>174</v>
      </c>
      <c r="N258" s="51" t="str">
        <f>IF(AND('331-CT'!$E$7=TH!H258,OR(L258="331",M258="331")),"331",IF(AND(OR(L258="131",M258="131"),H258='131-CT'!$E$7),"131",""))</f>
        <v/>
      </c>
      <c r="O258" s="891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/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>x</v>
      </c>
      <c r="AB258" s="924"/>
      <c r="AC258" s="589"/>
      <c r="AD258" s="589"/>
      <c r="AE258" s="589"/>
    </row>
    <row r="259" spans="1:31" s="210" customFormat="1" ht="15.75" hidden="1" customHeight="1">
      <c r="A259" s="203" t="str">
        <f>IF(B259&lt;&gt;"",IF(AND(B259&gt;=_TM1,B259&lt;=_TM2,OR(TH!L259="1111",TH!M259="1111")),TH!D259,""),"")</f>
        <v/>
      </c>
      <c r="B259" s="36">
        <f t="shared" si="28"/>
        <v>8</v>
      </c>
      <c r="C259" s="183">
        <f t="shared" si="27"/>
        <v>42605</v>
      </c>
      <c r="D259" s="183" t="s">
        <v>736</v>
      </c>
      <c r="E259" s="190">
        <v>42605</v>
      </c>
      <c r="F259" s="188" t="s">
        <v>585</v>
      </c>
      <c r="G259" s="479" t="s">
        <v>654</v>
      </c>
      <c r="H259" s="7" t="s">
        <v>426</v>
      </c>
      <c r="I259" s="255">
        <v>56</v>
      </c>
      <c r="J259" s="255">
        <v>73100</v>
      </c>
      <c r="K259" s="37">
        <f t="shared" si="26"/>
        <v>4093600</v>
      </c>
      <c r="L259" s="193" t="s">
        <v>259</v>
      </c>
      <c r="M259" s="598" t="s">
        <v>174</v>
      </c>
      <c r="N259" s="51" t="str">
        <f>IF(AND('331-CT'!$E$7=TH!H259,OR(L259="331",M259="331")),"331",IF(AND(OR(L259="131",M259="131"),H259='131-CT'!$E$7),"131",""))</f>
        <v/>
      </c>
      <c r="O259" s="891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/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>x</v>
      </c>
      <c r="AB259" s="923"/>
      <c r="AC259" s="589"/>
      <c r="AD259" s="589"/>
    </row>
    <row r="260" spans="1:31" s="210" customFormat="1" ht="15.75" hidden="1" customHeight="1">
      <c r="A260" s="203" t="str">
        <f>IF(B260&lt;&gt;"",IF(AND(B260&gt;=_TM1,B260&lt;=_TM2,OR(TH!L260="1111",TH!M260="1111")),TH!D260,""),"")</f>
        <v/>
      </c>
      <c r="B260" s="36">
        <f t="shared" si="28"/>
        <v>8</v>
      </c>
      <c r="C260" s="183">
        <f t="shared" si="27"/>
        <v>42605</v>
      </c>
      <c r="D260" s="183" t="s">
        <v>736</v>
      </c>
      <c r="E260" s="190">
        <v>42605</v>
      </c>
      <c r="F260" s="188" t="s">
        <v>586</v>
      </c>
      <c r="G260" s="479" t="s">
        <v>654</v>
      </c>
      <c r="H260" s="7" t="s">
        <v>426</v>
      </c>
      <c r="I260" s="255"/>
      <c r="J260" s="255"/>
      <c r="K260" s="37">
        <v>502566</v>
      </c>
      <c r="L260" s="193" t="s">
        <v>259</v>
      </c>
      <c r="M260" s="598" t="s">
        <v>370</v>
      </c>
      <c r="N260" s="51" t="str">
        <f>IF(AND('331-CT'!$E$7=TH!H260,OR(L260="331",M260="331")),"331",IF(AND(OR(L260="131",M260="131"),H260='131-CT'!$E$7),"131",""))</f>
        <v/>
      </c>
      <c r="O260" s="891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>x</v>
      </c>
      <c r="AB260" s="924"/>
      <c r="AC260" s="589"/>
      <c r="AD260" s="589"/>
    </row>
    <row r="261" spans="1:31" s="210" customFormat="1" ht="15.75" hidden="1" customHeight="1">
      <c r="A261" s="203" t="str">
        <f>IF(B261&lt;&gt;"",IF(AND(B261&gt;=_TM1,B261&lt;=_TM2,OR(TH!L261="1111",TH!M261="1111")),TH!D261,""),"")</f>
        <v/>
      </c>
      <c r="B261" s="36">
        <f t="shared" si="28"/>
        <v>8</v>
      </c>
      <c r="C261" s="183">
        <f t="shared" si="27"/>
        <v>42607</v>
      </c>
      <c r="D261" s="183" t="s">
        <v>737</v>
      </c>
      <c r="E261" s="190">
        <v>42607</v>
      </c>
      <c r="F261" s="188" t="s">
        <v>585</v>
      </c>
      <c r="G261" s="479" t="s">
        <v>655</v>
      </c>
      <c r="H261" s="7" t="s">
        <v>428</v>
      </c>
      <c r="I261" s="255">
        <f>160+110*8</f>
        <v>1040</v>
      </c>
      <c r="J261" s="255">
        <v>15100</v>
      </c>
      <c r="K261" s="37">
        <f t="shared" si="26"/>
        <v>15704000</v>
      </c>
      <c r="L261" s="193" t="s">
        <v>259</v>
      </c>
      <c r="M261" s="598" t="s">
        <v>174</v>
      </c>
      <c r="N261" s="51" t="str">
        <f>IF(AND('331-CT'!$E$7=TH!H261,OR(L261="331",M261="331")),"331",IF(AND(OR(L261="131",M261="131"),H261='131-CT'!$E$7),"131",""))</f>
        <v/>
      </c>
      <c r="O261" s="891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/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>x</v>
      </c>
      <c r="AB261" s="923"/>
      <c r="AC261" s="589"/>
    </row>
    <row r="262" spans="1:31" s="210" customFormat="1" ht="15.75" hidden="1" customHeight="1">
      <c r="A262" s="203" t="str">
        <f>IF(B262&lt;&gt;"",IF(AND(B262&gt;=_TM1,B262&lt;=_TM2,OR(TH!L262="1111",TH!M262="1111")),TH!D262,""),"")</f>
        <v/>
      </c>
      <c r="B262" s="36">
        <f t="shared" si="28"/>
        <v>8</v>
      </c>
      <c r="C262" s="183">
        <f t="shared" si="27"/>
        <v>42607</v>
      </c>
      <c r="D262" s="183" t="s">
        <v>737</v>
      </c>
      <c r="E262" s="190">
        <v>42607</v>
      </c>
      <c r="F262" s="188" t="s">
        <v>586</v>
      </c>
      <c r="G262" s="479" t="s">
        <v>655</v>
      </c>
      <c r="H262" s="7" t="s">
        <v>428</v>
      </c>
      <c r="I262" s="255"/>
      <c r="J262" s="255"/>
      <c r="K262" s="37">
        <v>1570400</v>
      </c>
      <c r="L262" s="193" t="s">
        <v>259</v>
      </c>
      <c r="M262" s="598" t="s">
        <v>370</v>
      </c>
      <c r="N262" s="51" t="str">
        <f>IF(AND('331-CT'!$E$7=TH!H262,OR(L262="331",M262="331")),"331",IF(AND(OR(L262="131",M262="131"),H262='131-CT'!$E$7),"131",""))</f>
        <v/>
      </c>
      <c r="O262" s="891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>x</v>
      </c>
      <c r="AB262" s="924"/>
      <c r="AC262" s="589"/>
      <c r="AD262" s="589"/>
    </row>
    <row r="263" spans="1:31" s="210" customFormat="1" ht="15.75" hidden="1" customHeight="1">
      <c r="A263" s="203" t="str">
        <f>IF(B263&lt;&gt;"",IF(AND(B263&gt;=_TM1,B263&lt;=_TM2,OR(TH!L263="1111",TH!M263="1111")),TH!D263,""),"")</f>
        <v/>
      </c>
      <c r="B263" s="36">
        <f t="shared" si="28"/>
        <v>8</v>
      </c>
      <c r="C263" s="183">
        <f t="shared" si="27"/>
        <v>42607</v>
      </c>
      <c r="D263" s="183" t="s">
        <v>738</v>
      </c>
      <c r="E263" s="190">
        <v>42607</v>
      </c>
      <c r="F263" s="188" t="s">
        <v>585</v>
      </c>
      <c r="G263" s="479" t="s">
        <v>656</v>
      </c>
      <c r="H263" s="7" t="s">
        <v>428</v>
      </c>
      <c r="I263" s="255">
        <v>110</v>
      </c>
      <c r="J263" s="255">
        <v>15100</v>
      </c>
      <c r="K263" s="37">
        <f t="shared" ref="K263" si="29">ROUND(I263*J263,0)</f>
        <v>1661000</v>
      </c>
      <c r="L263" s="193" t="s">
        <v>259</v>
      </c>
      <c r="M263" s="598" t="s">
        <v>174</v>
      </c>
      <c r="N263" s="51" t="str">
        <f>IF(AND('331-CT'!$E$7=TH!H263,OR(L263="331",M263="331")),"331",IF(AND(OR(L263="131",M263="131"),H263='131-CT'!$E$7),"131",""))</f>
        <v/>
      </c>
      <c r="O263" s="891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>x</v>
      </c>
      <c r="AB263" s="924"/>
      <c r="AC263" s="589"/>
      <c r="AD263" s="589"/>
    </row>
    <row r="264" spans="1:31" s="210" customFormat="1" ht="15.75" hidden="1" customHeight="1">
      <c r="A264" s="203" t="str">
        <f>IF(B264&lt;&gt;"",IF(AND(B264&gt;=_TM1,B264&lt;=_TM2,OR(TH!L264="1111",TH!M264="1111")),TH!D264,""),"")</f>
        <v/>
      </c>
      <c r="B264" s="36">
        <f t="shared" si="28"/>
        <v>8</v>
      </c>
      <c r="C264" s="183">
        <f t="shared" si="27"/>
        <v>42607</v>
      </c>
      <c r="D264" s="183" t="s">
        <v>738</v>
      </c>
      <c r="E264" s="190">
        <v>42607</v>
      </c>
      <c r="F264" s="188" t="s">
        <v>586</v>
      </c>
      <c r="G264" s="479" t="s">
        <v>656</v>
      </c>
      <c r="H264" s="7" t="s">
        <v>428</v>
      </c>
      <c r="I264" s="255"/>
      <c r="J264" s="255"/>
      <c r="K264" s="37">
        <v>166100</v>
      </c>
      <c r="L264" s="193" t="s">
        <v>259</v>
      </c>
      <c r="M264" s="598" t="s">
        <v>370</v>
      </c>
      <c r="N264" s="51" t="str">
        <f>IF(AND('331-CT'!$E$7=TH!H264,OR(L264="331",M264="331")),"331",IF(AND(OR(L264="131",M264="131"),H264='131-CT'!$E$7),"131",""))</f>
        <v/>
      </c>
      <c r="O264" s="891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>x</v>
      </c>
      <c r="AB264" s="923"/>
      <c r="AC264" s="589"/>
      <c r="AD264" s="589"/>
    </row>
    <row r="265" spans="1:31" s="210" customFormat="1" ht="15.75" hidden="1" customHeight="1">
      <c r="A265" s="203" t="str">
        <f>IF(B265&lt;&gt;"",IF(AND(B265&gt;=_TM1,B265&lt;=_TM2,OR(TH!L265="1111",TH!M265="1111")),TH!D265,""),"")</f>
        <v/>
      </c>
      <c r="B265" s="36">
        <f t="shared" si="28"/>
        <v>8</v>
      </c>
      <c r="C265" s="183">
        <f t="shared" si="27"/>
        <v>42608</v>
      </c>
      <c r="D265" s="183" t="s">
        <v>739</v>
      </c>
      <c r="E265" s="190">
        <v>42608</v>
      </c>
      <c r="F265" s="188" t="s">
        <v>658</v>
      </c>
      <c r="G265" s="479" t="s">
        <v>657</v>
      </c>
      <c r="H265" s="192" t="s">
        <v>774</v>
      </c>
      <c r="I265" s="255">
        <v>120</v>
      </c>
      <c r="J265" s="255">
        <v>19000</v>
      </c>
      <c r="K265" s="37">
        <f t="shared" si="26"/>
        <v>2280000</v>
      </c>
      <c r="L265" s="193" t="s">
        <v>259</v>
      </c>
      <c r="M265" s="598" t="s">
        <v>174</v>
      </c>
      <c r="N265" s="51" t="str">
        <f>IF(AND('331-CT'!$E$7=TH!H265,OR(L265="331",M265="331")),"331",IF(AND(OR(L265="131",M265="131"),H265='131-CT'!$E$7),"131",""))</f>
        <v/>
      </c>
      <c r="O265" s="891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>x</v>
      </c>
      <c r="AB265" s="924"/>
      <c r="AC265" s="589"/>
      <c r="AD265" s="589"/>
    </row>
    <row r="266" spans="1:31" s="210" customFormat="1" ht="15.75" hidden="1" customHeight="1">
      <c r="A266" s="203" t="str">
        <f>IF(B266&lt;&gt;"",IF(AND(B266&gt;=_TM1,B266&lt;=_TM2,OR(TH!L266="1111",TH!M266="1111")),TH!D266,""),"")</f>
        <v/>
      </c>
      <c r="B266" s="36">
        <f t="shared" si="28"/>
        <v>8</v>
      </c>
      <c r="C266" s="183">
        <f t="shared" si="27"/>
        <v>42608</v>
      </c>
      <c r="D266" s="183" t="s">
        <v>739</v>
      </c>
      <c r="E266" s="190">
        <v>42608</v>
      </c>
      <c r="F266" s="188" t="s">
        <v>659</v>
      </c>
      <c r="G266" s="479" t="s">
        <v>657</v>
      </c>
      <c r="H266" s="192" t="s">
        <v>774</v>
      </c>
      <c r="I266" s="255">
        <v>240</v>
      </c>
      <c r="J266" s="255">
        <v>1750</v>
      </c>
      <c r="K266" s="37">
        <f t="shared" si="26"/>
        <v>420000</v>
      </c>
      <c r="L266" s="193" t="s">
        <v>259</v>
      </c>
      <c r="M266" s="598" t="s">
        <v>174</v>
      </c>
      <c r="N266" s="51" t="str">
        <f>IF(AND('331-CT'!$E$7=TH!H266,OR(L266="331",M266="331")),"331",IF(AND(OR(L266="131",M266="131"),H266='131-CT'!$E$7),"131",""))</f>
        <v/>
      </c>
      <c r="O266" s="891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/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>x</v>
      </c>
      <c r="AB266" s="924"/>
      <c r="AC266" s="589"/>
      <c r="AD266" s="589"/>
    </row>
    <row r="267" spans="1:31" s="210" customFormat="1" ht="15.75" hidden="1" customHeight="1">
      <c r="A267" s="203" t="str">
        <f>IF(B267&lt;&gt;"",IF(AND(B267&gt;=_TM1,B267&lt;=_TM2,OR(TH!L267="1111",TH!M267="1111")),TH!D267,""),"")</f>
        <v/>
      </c>
      <c r="B267" s="36">
        <f t="shared" si="28"/>
        <v>8</v>
      </c>
      <c r="C267" s="183">
        <f t="shared" si="27"/>
        <v>42608</v>
      </c>
      <c r="D267" s="183" t="s">
        <v>739</v>
      </c>
      <c r="E267" s="190">
        <v>42608</v>
      </c>
      <c r="F267" s="188" t="s">
        <v>586</v>
      </c>
      <c r="G267" s="479" t="s">
        <v>657</v>
      </c>
      <c r="H267" s="192" t="s">
        <v>774</v>
      </c>
      <c r="I267" s="255"/>
      <c r="J267" s="255"/>
      <c r="K267" s="37">
        <v>270000</v>
      </c>
      <c r="L267" s="193" t="s">
        <v>259</v>
      </c>
      <c r="M267" s="598" t="s">
        <v>370</v>
      </c>
      <c r="N267" s="51" t="str">
        <f>IF(AND('331-CT'!$E$7=TH!H267,OR(L267="331",M267="331")),"331",IF(AND(OR(L267="131",M267="131"),H267='131-CT'!$E$7),"131",""))</f>
        <v/>
      </c>
      <c r="O267" s="891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/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>x</v>
      </c>
      <c r="AB267" s="924"/>
      <c r="AC267" s="589"/>
      <c r="AD267" s="589"/>
    </row>
    <row r="268" spans="1:31" s="210" customFormat="1" ht="15.75" hidden="1" customHeight="1">
      <c r="A268" s="203" t="str">
        <f>IF(B268&lt;&gt;"",IF(AND(B268&gt;=_TM1,B268&lt;=_TM2,OR(TH!L268="1111",TH!M268="1111")),TH!D268,""),"")</f>
        <v/>
      </c>
      <c r="B268" s="36">
        <f t="shared" si="28"/>
        <v>8</v>
      </c>
      <c r="C268" s="183">
        <f t="shared" si="27"/>
        <v>42608</v>
      </c>
      <c r="D268" s="183" t="s">
        <v>740</v>
      </c>
      <c r="E268" s="190">
        <v>42608</v>
      </c>
      <c r="F268" s="188" t="s">
        <v>618</v>
      </c>
      <c r="G268" s="479" t="s">
        <v>660</v>
      </c>
      <c r="H268" s="7" t="s">
        <v>423</v>
      </c>
      <c r="I268" s="255">
        <v>513</v>
      </c>
      <c r="J268" s="255">
        <v>10500</v>
      </c>
      <c r="K268" s="37">
        <f t="shared" si="26"/>
        <v>5386500</v>
      </c>
      <c r="L268" s="193" t="s">
        <v>259</v>
      </c>
      <c r="M268" s="598" t="s">
        <v>174</v>
      </c>
      <c r="N268" s="51" t="str">
        <f>IF(AND('331-CT'!$E$7=TH!H268,OR(L268="331",M268="331")),"331",IF(AND(OR(L268="131",M268="131"),H268='131-CT'!$E$7),"131",""))</f>
        <v/>
      </c>
      <c r="O268" s="891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/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/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>x</v>
      </c>
      <c r="AB268" s="924"/>
      <c r="AC268" s="589"/>
    </row>
    <row r="269" spans="1:31" s="210" customFormat="1" ht="15.75" hidden="1" customHeight="1">
      <c r="A269" s="203" t="str">
        <f>IF(B269&lt;&gt;"",IF(AND(B269&gt;=_TM1,B269&lt;=_TM2,OR(TH!L269="1111",TH!M269="1111")),TH!D269,""),"")</f>
        <v/>
      </c>
      <c r="B269" s="36">
        <f t="shared" si="28"/>
        <v>8</v>
      </c>
      <c r="C269" s="183">
        <f t="shared" si="27"/>
        <v>42608</v>
      </c>
      <c r="D269" s="183" t="s">
        <v>740</v>
      </c>
      <c r="E269" s="190">
        <v>42608</v>
      </c>
      <c r="F269" s="188" t="s">
        <v>586</v>
      </c>
      <c r="G269" s="479" t="s">
        <v>660</v>
      </c>
      <c r="H269" s="7" t="s">
        <v>423</v>
      </c>
      <c r="I269" s="255"/>
      <c r="J269" s="255"/>
      <c r="K269" s="37">
        <v>538650</v>
      </c>
      <c r="L269" s="193" t="s">
        <v>259</v>
      </c>
      <c r="M269" s="598" t="s">
        <v>370</v>
      </c>
      <c r="N269" s="51" t="str">
        <f>IF(AND('331-CT'!$E$7=TH!H269,OR(L269="331",M269="331")),"331",IF(AND(OR(L269="131",M269="131"),H269='131-CT'!$E$7),"131",""))</f>
        <v/>
      </c>
      <c r="O269" s="891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/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>x</v>
      </c>
      <c r="AB269" s="924"/>
      <c r="AC269" s="589"/>
      <c r="AD269" s="589"/>
    </row>
    <row r="270" spans="1:31" s="210" customFormat="1" ht="15.75" hidden="1" customHeight="1">
      <c r="A270" s="203" t="str">
        <f>IF(B270&lt;&gt;"",IF(AND(B270&gt;=_TM1,B270&lt;=_TM2,OR(TH!L270="1111",TH!M270="1111")),TH!D270,""),"")</f>
        <v/>
      </c>
      <c r="B270" s="36">
        <f t="shared" si="28"/>
        <v>8</v>
      </c>
      <c r="C270" s="183">
        <f t="shared" si="27"/>
        <v>42608</v>
      </c>
      <c r="D270" s="183" t="s">
        <v>741</v>
      </c>
      <c r="E270" s="190">
        <v>42608</v>
      </c>
      <c r="F270" s="188" t="s">
        <v>662</v>
      </c>
      <c r="G270" s="479" t="s">
        <v>661</v>
      </c>
      <c r="H270" s="7" t="s">
        <v>775</v>
      </c>
      <c r="I270" s="255">
        <v>1000</v>
      </c>
      <c r="J270" s="255">
        <v>7700</v>
      </c>
      <c r="K270" s="37">
        <f t="shared" si="26"/>
        <v>7700000</v>
      </c>
      <c r="L270" s="193" t="s">
        <v>259</v>
      </c>
      <c r="M270" s="598" t="s">
        <v>174</v>
      </c>
      <c r="N270" s="51" t="str">
        <f>IF(AND('331-CT'!$E$7=TH!H270,OR(L270="331",M270="331")),"331",IF(AND(OR(L270="131",M270="131"),H270='131-CT'!$E$7),"131",""))</f>
        <v/>
      </c>
      <c r="O270" s="891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/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>x</v>
      </c>
      <c r="AB270" s="924"/>
      <c r="AC270" s="589"/>
    </row>
    <row r="271" spans="1:31" s="210" customFormat="1" ht="15.75" hidden="1" customHeight="1">
      <c r="A271" s="203" t="str">
        <f>IF(B271&lt;&gt;"",IF(AND(B271&gt;=_TM1,B271&lt;=_TM2,OR(TH!L271="1111",TH!M271="1111")),TH!D271,""),"")</f>
        <v/>
      </c>
      <c r="B271" s="36">
        <f t="shared" si="28"/>
        <v>8</v>
      </c>
      <c r="C271" s="183">
        <f t="shared" si="27"/>
        <v>42608</v>
      </c>
      <c r="D271" s="183" t="s">
        <v>741</v>
      </c>
      <c r="E271" s="190">
        <v>42608</v>
      </c>
      <c r="F271" s="188" t="s">
        <v>663</v>
      </c>
      <c r="G271" s="479" t="s">
        <v>661</v>
      </c>
      <c r="H271" s="7" t="s">
        <v>775</v>
      </c>
      <c r="I271" s="255">
        <v>970</v>
      </c>
      <c r="J271" s="255">
        <v>6400</v>
      </c>
      <c r="K271" s="37">
        <f t="shared" si="26"/>
        <v>6208000</v>
      </c>
      <c r="L271" s="193" t="s">
        <v>259</v>
      </c>
      <c r="M271" s="598" t="s">
        <v>174</v>
      </c>
      <c r="N271" s="51" t="str">
        <f>IF(AND('331-CT'!$E$7=TH!H271,OR(L271="331",M271="331")),"331",IF(AND(OR(L271="131",M271="131"),H271='131-CT'!$E$7),"131",""))</f>
        <v/>
      </c>
      <c r="O271" s="891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>x</v>
      </c>
      <c r="AB271" s="924"/>
      <c r="AC271" s="589"/>
      <c r="AD271" s="589"/>
    </row>
    <row r="272" spans="1:31" s="210" customFormat="1" ht="15.75" hidden="1" customHeight="1">
      <c r="A272" s="203" t="str">
        <f>IF(B272&lt;&gt;"",IF(AND(B272&gt;=_TM1,B272&lt;=_TM2,OR(TH!L272="1111",TH!M272="1111")),TH!D272,""),"")</f>
        <v/>
      </c>
      <c r="B272" s="36">
        <f t="shared" si="28"/>
        <v>8</v>
      </c>
      <c r="C272" s="183">
        <f t="shared" si="27"/>
        <v>42608</v>
      </c>
      <c r="D272" s="183" t="s">
        <v>741</v>
      </c>
      <c r="E272" s="190">
        <v>42608</v>
      </c>
      <c r="F272" s="188" t="s">
        <v>586</v>
      </c>
      <c r="G272" s="479" t="s">
        <v>661</v>
      </c>
      <c r="H272" s="7" t="s">
        <v>775</v>
      </c>
      <c r="I272" s="255"/>
      <c r="J272" s="255"/>
      <c r="K272" s="37">
        <v>1390800</v>
      </c>
      <c r="L272" s="193" t="s">
        <v>259</v>
      </c>
      <c r="M272" s="598" t="s">
        <v>370</v>
      </c>
      <c r="N272" s="51" t="str">
        <f>IF(AND('331-CT'!$E$7=TH!H272,OR(L272="331",M272="331")),"331",IF(AND(OR(L272="131",M272="131"),H272='131-CT'!$E$7),"131",""))</f>
        <v/>
      </c>
      <c r="O272" s="891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>x</v>
      </c>
      <c r="AB272" s="924"/>
      <c r="AC272" s="589"/>
    </row>
    <row r="273" spans="1:30" s="210" customFormat="1" ht="15.75" hidden="1" customHeight="1">
      <c r="A273" s="203" t="str">
        <f>IF(B273&lt;&gt;"",IF(AND(B273&gt;=_TM1,B273&lt;=_TM2,OR(TH!L273="1111",TH!M273="1111")),TH!D273,""),"")</f>
        <v/>
      </c>
      <c r="B273" s="36">
        <f t="shared" si="28"/>
        <v>8</v>
      </c>
      <c r="C273" s="183">
        <f t="shared" si="27"/>
        <v>42609</v>
      </c>
      <c r="D273" s="183" t="s">
        <v>742</v>
      </c>
      <c r="E273" s="190">
        <v>42609</v>
      </c>
      <c r="F273" s="188" t="s">
        <v>665</v>
      </c>
      <c r="G273" s="479" t="s">
        <v>664</v>
      </c>
      <c r="H273" s="7" t="s">
        <v>770</v>
      </c>
      <c r="I273" s="255">
        <v>203</v>
      </c>
      <c r="J273" s="255">
        <v>6400</v>
      </c>
      <c r="K273" s="37">
        <f t="shared" si="26"/>
        <v>1299200</v>
      </c>
      <c r="L273" s="193" t="s">
        <v>259</v>
      </c>
      <c r="M273" s="598" t="s">
        <v>174</v>
      </c>
      <c r="N273" s="51" t="str">
        <f>IF(AND('331-CT'!$E$7=TH!H279,OR(L273="331",M273="331")),"331",IF(AND(OR(L273="131",M273="131"),H273='131-CT'!$E$7),"131",""))</f>
        <v/>
      </c>
      <c r="O273" s="891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IF(OR(TH!L279=TH!$W$7,M273=TH!$W$7),"x","")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IF(AND(OR(LEFT(TH!L279,2)="15",LEFT(TH!M279,2)="15"),'152-CT'!$J$8=TH!F279),"x","")</f>
        <v/>
      </c>
      <c r="Z273" s="51" t="str">
        <f>IF(AND(OR(LEFT(TH!L279,2)="15",LEFT(TH!M279,2)="15"),TK!$E$7=TH!F279),"x","")</f>
        <v/>
      </c>
      <c r="AA273" s="51" t="str">
        <f>IF(AND(B273&lt;=NKC!$N$8,B273&gt;=NKC!$M$8),"x","")</f>
        <v>x</v>
      </c>
      <c r="AB273" s="924"/>
      <c r="AC273" s="589"/>
      <c r="AD273" s="589"/>
    </row>
    <row r="274" spans="1:30" s="210" customFormat="1" ht="15.75" hidden="1" customHeight="1">
      <c r="A274" s="203" t="str">
        <f>IF(B274&lt;&gt;"",IF(AND(B274&gt;=_TM1,B274&lt;=_TM2,OR(TH!L274="1111",TH!M274="1111")),TH!D274,""),"")</f>
        <v/>
      </c>
      <c r="B274" s="36">
        <f t="shared" si="28"/>
        <v>8</v>
      </c>
      <c r="C274" s="183">
        <f t="shared" si="27"/>
        <v>42609</v>
      </c>
      <c r="D274" s="183" t="s">
        <v>742</v>
      </c>
      <c r="E274" s="190">
        <v>42609</v>
      </c>
      <c r="F274" s="188" t="s">
        <v>586</v>
      </c>
      <c r="G274" s="479" t="s">
        <v>664</v>
      </c>
      <c r="H274" s="7" t="s">
        <v>770</v>
      </c>
      <c r="I274" s="255"/>
      <c r="J274" s="255"/>
      <c r="K274" s="37">
        <v>129920</v>
      </c>
      <c r="L274" s="193" t="s">
        <v>259</v>
      </c>
      <c r="M274" s="598" t="s">
        <v>370</v>
      </c>
      <c r="N274" s="51" t="str">
        <f>IF(AND('331-CT'!$E$7=TH!H280,OR(L274="331",M274="331")),"331",IF(AND(OR(L274="131",M274="131"),H274='131-CT'!$E$7),"131",""))</f>
        <v/>
      </c>
      <c r="O274" s="891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IF(OR(TH!L280=TH!$W$7,M274=TH!$W$7),"x","")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IF(AND(OR(LEFT(TH!L280,2)="15",LEFT(TH!M280,2)="15"),'152-CT'!$J$8=TH!F280),"x","")</f>
        <v/>
      </c>
      <c r="Z274" s="51" t="str">
        <f>IF(AND(OR(LEFT(TH!L280,2)="15",LEFT(TH!M280,2)="15"),TK!$E$7=TH!F280),"x","")</f>
        <v/>
      </c>
      <c r="AA274" s="51" t="str">
        <f>IF(AND(B274&lt;=NKC!$N$8,B274&gt;=NKC!$M$8),"x","")</f>
        <v>x</v>
      </c>
      <c r="AB274" s="924"/>
      <c r="AC274" s="589"/>
      <c r="AD274" s="589"/>
    </row>
    <row r="275" spans="1:30" s="210" customFormat="1" ht="15.75" hidden="1" customHeight="1">
      <c r="A275" s="203" t="str">
        <f>IF(B275&lt;&gt;"",IF(AND(B275&gt;=_TM1,B275&lt;=_TM2,OR(TH!L275="1111",TH!M275="1111")),TH!D275,""),"")</f>
        <v/>
      </c>
      <c r="B275" s="36">
        <f t="shared" si="28"/>
        <v>8</v>
      </c>
      <c r="C275" s="183">
        <f t="shared" si="27"/>
        <v>42611</v>
      </c>
      <c r="D275" s="183" t="s">
        <v>743</v>
      </c>
      <c r="E275" s="190">
        <v>42611</v>
      </c>
      <c r="F275" s="188" t="s">
        <v>645</v>
      </c>
      <c r="G275" s="479" t="s">
        <v>666</v>
      </c>
      <c r="H275" s="7" t="s">
        <v>426</v>
      </c>
      <c r="I275" s="255">
        <v>160</v>
      </c>
      <c r="J275" s="255">
        <v>47449</v>
      </c>
      <c r="K275" s="37">
        <f t="shared" si="26"/>
        <v>7591840</v>
      </c>
      <c r="L275" s="193" t="s">
        <v>259</v>
      </c>
      <c r="M275" s="598" t="s">
        <v>174</v>
      </c>
      <c r="N275" s="51" t="str">
        <f>IF(AND('331-CT'!$E$7=TH!H281,OR(L275="331",M275="331")),"331",IF(AND(OR(L275="131",M275="131"),H275='131-CT'!$E$7),"131",""))</f>
        <v/>
      </c>
      <c r="O275" s="891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IF(OR(TH!L281=TH!$W$7,M275=TH!$W$7),"x","")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IF(AND(OR(LEFT(TH!L281,2)="15",LEFT(TH!M281,2)="15"),'152-CT'!$J$8=TH!F281),"x","")</f>
        <v/>
      </c>
      <c r="Z275" s="51" t="str">
        <f>IF(AND(OR(LEFT(TH!L281,2)="15",LEFT(TH!M281,2)="15"),TK!$E$7=TH!F281),"x","")</f>
        <v/>
      </c>
      <c r="AA275" s="51" t="str">
        <f>IF(AND(B275&lt;=NKC!$N$8,B275&gt;=NKC!$M$8),"x","")</f>
        <v>x</v>
      </c>
      <c r="AB275" s="924"/>
      <c r="AC275" s="589"/>
      <c r="AD275" s="589"/>
    </row>
    <row r="276" spans="1:30" s="210" customFormat="1" ht="15.75" hidden="1" customHeight="1">
      <c r="A276" s="203" t="str">
        <f>IF(B276&lt;&gt;"",IF(AND(B276&gt;=_TM1,B276&lt;=_TM2,OR(TH!L276="1111",TH!M276="1111")),TH!D276,""),"")</f>
        <v/>
      </c>
      <c r="B276" s="36">
        <f t="shared" si="28"/>
        <v>8</v>
      </c>
      <c r="C276" s="183">
        <f t="shared" si="27"/>
        <v>42611</v>
      </c>
      <c r="D276" s="183" t="s">
        <v>743</v>
      </c>
      <c r="E276" s="190">
        <v>42611</v>
      </c>
      <c r="F276" s="188" t="s">
        <v>586</v>
      </c>
      <c r="G276" s="479" t="s">
        <v>666</v>
      </c>
      <c r="H276" s="7" t="s">
        <v>426</v>
      </c>
      <c r="I276" s="255"/>
      <c r="J276" s="255"/>
      <c r="K276" s="37">
        <v>759184</v>
      </c>
      <c r="L276" s="193" t="s">
        <v>259</v>
      </c>
      <c r="M276" s="598" t="s">
        <v>370</v>
      </c>
      <c r="N276" s="51" t="str">
        <f>IF(AND('331-CT'!$E$7=TH!H282,OR(L276="331",M276="331")),"331",IF(AND(OR(L276="131",M276="131"),H276='131-CT'!$E$7),"131",""))</f>
        <v/>
      </c>
      <c r="O276" s="891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/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IF(OR(TH!L282=TH!$W$7,M276=TH!$W$7),"x","")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IF(AND(OR(LEFT(TH!L282,2)="15",LEFT(TH!M282,2)="15"),'152-CT'!$J$8=TH!F282),"x","")</f>
        <v/>
      </c>
      <c r="Z276" s="51" t="str">
        <f>IF(AND(OR(LEFT(TH!L282,2)="15",LEFT(TH!M282,2)="15"),TK!$E$7=TH!F282),"x","")</f>
        <v/>
      </c>
      <c r="AA276" s="51" t="str">
        <f>IF(AND(B276&lt;=NKC!$N$8,B276&gt;=NKC!$M$8),"x","")</f>
        <v>x</v>
      </c>
      <c r="AB276" s="924"/>
      <c r="AC276" s="589"/>
      <c r="AD276" s="589"/>
    </row>
    <row r="277" spans="1:30" s="210" customFormat="1" ht="15.75" hidden="1" customHeight="1">
      <c r="A277" s="203" t="str">
        <f>IF(B277&lt;&gt;"",IF(AND(B277&gt;=_TM1,B277&lt;=_TM2,OR(TH!L277="1111",TH!M277="1111")),TH!D277,""),"")</f>
        <v/>
      </c>
      <c r="B277" s="36">
        <f t="shared" si="28"/>
        <v>8</v>
      </c>
      <c r="C277" s="183">
        <f t="shared" si="27"/>
        <v>42612</v>
      </c>
      <c r="D277" s="183" t="s">
        <v>744</v>
      </c>
      <c r="E277" s="190">
        <v>42612</v>
      </c>
      <c r="F277" s="188" t="s">
        <v>427</v>
      </c>
      <c r="G277" s="479" t="s">
        <v>667</v>
      </c>
      <c r="H277" s="7" t="s">
        <v>773</v>
      </c>
      <c r="I277" s="255">
        <v>500</v>
      </c>
      <c r="J277" s="255">
        <v>12950</v>
      </c>
      <c r="K277" s="37">
        <f t="shared" ref="K277:K338" si="30">ROUND(I277*J277,0)</f>
        <v>6475000</v>
      </c>
      <c r="L277" s="193" t="s">
        <v>259</v>
      </c>
      <c r="M277" s="598" t="s">
        <v>174</v>
      </c>
      <c r="N277" s="51" t="str">
        <f>IF(AND('331-CT'!$E$7=TH!H283,OR(L277="331",M277="331")),"331",IF(AND(OR(L277="131",M277="131"),H277='131-CT'!$E$7),"131",""))</f>
        <v/>
      </c>
      <c r="O277" s="891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/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IF(OR(TH!L283=TH!$W$7,M277=TH!$W$7),"x","")</f>
        <v/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IF(AND(OR(LEFT(TH!L283,2)="15",LEFT(TH!M283,2)="15"),'152-CT'!$J$8=TH!F283),"x","")</f>
        <v/>
      </c>
      <c r="Z277" s="51" t="str">
        <f>IF(AND(OR(LEFT(TH!L283,2)="15",LEFT(TH!M283,2)="15"),TK!$E$7=TH!F283),"x","")</f>
        <v/>
      </c>
      <c r="AA277" s="51" t="str">
        <f>IF(AND(B277&lt;=NKC!$N$8,B277&gt;=NKC!$M$8),"x","")</f>
        <v>x</v>
      </c>
      <c r="AB277" s="924"/>
      <c r="AC277" s="589"/>
      <c r="AD277" s="589"/>
    </row>
    <row r="278" spans="1:30" s="210" customFormat="1" ht="15.75" hidden="1" customHeight="1">
      <c r="A278" s="203" t="str">
        <f>IF(B278&lt;&gt;"",IF(AND(B278&gt;=_TM1,B278&lt;=_TM2,OR(TH!L278="1111",TH!M278="1111")),TH!D278,""),"")</f>
        <v/>
      </c>
      <c r="B278" s="36">
        <f t="shared" si="28"/>
        <v>8</v>
      </c>
      <c r="C278" s="183">
        <f t="shared" si="27"/>
        <v>42612</v>
      </c>
      <c r="D278" s="183" t="s">
        <v>744</v>
      </c>
      <c r="E278" s="190">
        <v>42612</v>
      </c>
      <c r="F278" s="188" t="s">
        <v>668</v>
      </c>
      <c r="G278" s="479" t="s">
        <v>667</v>
      </c>
      <c r="H278" s="7" t="s">
        <v>773</v>
      </c>
      <c r="I278" s="255"/>
      <c r="J278" s="255"/>
      <c r="K278" s="37">
        <v>647500</v>
      </c>
      <c r="L278" s="193" t="s">
        <v>259</v>
      </c>
      <c r="M278" s="598" t="s">
        <v>370</v>
      </c>
      <c r="N278" s="51" t="str">
        <f>IF(AND('331-CT'!$E$7=TH!H284,OR(L278="331",M278="331")),"331",IF(AND(OR(L278="131",M278="131"),H278='131-CT'!$E$7),"131",""))</f>
        <v/>
      </c>
      <c r="O278" s="891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/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IF(OR(TH!L284=TH!$W$7,M278=TH!$W$7),"x","")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IF(AND(OR(LEFT(TH!L284,2)="15",LEFT(TH!M284,2)="15"),'152-CT'!$J$8=TH!F284),"x","")</f>
        <v/>
      </c>
      <c r="Z278" s="51" t="str">
        <f>IF(AND(OR(LEFT(TH!L284,2)="15",LEFT(TH!M284,2)="15"),TK!$E$7=TH!F284),"x","")</f>
        <v/>
      </c>
      <c r="AA278" s="51" t="str">
        <f>IF(AND(B278&lt;=NKC!$N$8,B278&gt;=NKC!$M$8),"x","")</f>
        <v>x</v>
      </c>
      <c r="AB278" s="923"/>
      <c r="AC278" s="589"/>
      <c r="AD278" s="589"/>
    </row>
    <row r="279" spans="1:30" s="210" customFormat="1" ht="15.75" hidden="1" customHeight="1">
      <c r="A279" s="203" t="str">
        <f>IF(B279&lt;&gt;"",IF(AND(B279&gt;=_TM1,B279&lt;=_TM2,OR(TH!L279="1111",TH!M279="1111")),TH!D279,""),"")</f>
        <v/>
      </c>
      <c r="B279" s="36">
        <f t="shared" si="28"/>
        <v>8</v>
      </c>
      <c r="C279" s="183">
        <f t="shared" si="27"/>
        <v>42613</v>
      </c>
      <c r="D279" s="183" t="s">
        <v>745</v>
      </c>
      <c r="E279" s="190">
        <v>42613</v>
      </c>
      <c r="F279" s="188" t="s">
        <v>594</v>
      </c>
      <c r="G279" s="479" t="s">
        <v>669</v>
      </c>
      <c r="H279" s="7" t="s">
        <v>424</v>
      </c>
      <c r="I279" s="255">
        <v>1500</v>
      </c>
      <c r="J279" s="255">
        <v>13800</v>
      </c>
      <c r="K279" s="37">
        <f t="shared" si="30"/>
        <v>20700000</v>
      </c>
      <c r="L279" s="193" t="s">
        <v>259</v>
      </c>
      <c r="M279" s="598" t="s">
        <v>174</v>
      </c>
      <c r="N279" s="51" t="str">
        <f>IF(AND('331-CT'!$E$7=TH!H285,OR(L279="331",M279="331")),"331",IF(AND(OR(L279="131",M279="131"),H279='131-CT'!$E$7),"131",""))</f>
        <v/>
      </c>
      <c r="O279" s="891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/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IF(OR(TH!L285=TH!$W$7,M279=TH!$W$7),"x","")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IF(AND(OR(LEFT(TH!L285,2)="15",LEFT(TH!M285,2)="15"),'152-CT'!$J$8=TH!F285),"x","")</f>
        <v/>
      </c>
      <c r="Z279" s="51" t="str">
        <f>IF(AND(OR(LEFT(TH!L285,2)="15",LEFT(TH!M285,2)="15"),TK!$E$7=TH!F285),"x","")</f>
        <v/>
      </c>
      <c r="AA279" s="51" t="str">
        <f>IF(AND(B279&lt;=NKC!$N$8,B279&gt;=NKC!$M$8),"x","")</f>
        <v>x</v>
      </c>
      <c r="AB279" s="924"/>
      <c r="AC279" s="589"/>
      <c r="AD279" s="589"/>
    </row>
    <row r="280" spans="1:30" s="210" customFormat="1" ht="15.75" hidden="1" customHeight="1">
      <c r="A280" s="203" t="str">
        <f>IF(B280&lt;&gt;"",IF(AND(B280&gt;=_TM1,B280&lt;=_TM2,OR(TH!L280="1111",TH!M280="1111")),TH!D280,""),"")</f>
        <v/>
      </c>
      <c r="B280" s="36">
        <f t="shared" si="28"/>
        <v>8</v>
      </c>
      <c r="C280" s="183">
        <f t="shared" si="27"/>
        <v>42613</v>
      </c>
      <c r="D280" s="183" t="s">
        <v>745</v>
      </c>
      <c r="E280" s="190">
        <v>42613</v>
      </c>
      <c r="F280" s="188" t="s">
        <v>594</v>
      </c>
      <c r="G280" s="479" t="s">
        <v>669</v>
      </c>
      <c r="H280" s="7" t="s">
        <v>424</v>
      </c>
      <c r="I280" s="255">
        <v>400</v>
      </c>
      <c r="J280" s="255">
        <v>13400</v>
      </c>
      <c r="K280" s="37">
        <f t="shared" si="30"/>
        <v>5360000</v>
      </c>
      <c r="L280" s="193" t="s">
        <v>259</v>
      </c>
      <c r="M280" s="598" t="s">
        <v>174</v>
      </c>
      <c r="N280" s="51" t="str">
        <f>IF(AND('331-CT'!$E$7=TH!H286,OR(L280="331",M280="331")),"331",IF(AND(OR(L280="131",M280="131"),H280='131-CT'!$E$7),"131",""))</f>
        <v/>
      </c>
      <c r="O280" s="891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/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IF(OR(TH!L286=TH!$W$7,M280=TH!$W$7),"x","")</f>
        <v/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IF(AND(OR(LEFT(TH!L286,2)="15",LEFT(TH!M286,2)="15"),'152-CT'!$J$8=TH!F286),"x","")</f>
        <v/>
      </c>
      <c r="Z280" s="51" t="str">
        <f>IF(AND(OR(LEFT(TH!L286,2)="15",LEFT(TH!M286,2)="15"),TK!$E$7=TH!F286),"x","")</f>
        <v/>
      </c>
      <c r="AA280" s="51" t="str">
        <f>IF(AND(B280&lt;=NKC!$N$8,B280&gt;=NKC!$M$8),"x","")</f>
        <v>x</v>
      </c>
      <c r="AB280" s="924"/>
      <c r="AC280" s="589"/>
      <c r="AD280" s="589"/>
    </row>
    <row r="281" spans="1:30" s="210" customFormat="1" ht="15.75" hidden="1" customHeight="1">
      <c r="A281" s="203" t="str">
        <f>IF(B281&lt;&gt;"",IF(AND(B281&gt;=_TM1,B281&lt;=_TM2,OR(TH!L281="1111",TH!M281="1111")),TH!D281,""),"")</f>
        <v/>
      </c>
      <c r="B281" s="36">
        <f t="shared" si="28"/>
        <v>8</v>
      </c>
      <c r="C281" s="183">
        <f t="shared" si="27"/>
        <v>42613</v>
      </c>
      <c r="D281" s="183" t="s">
        <v>745</v>
      </c>
      <c r="E281" s="190">
        <v>42613</v>
      </c>
      <c r="F281" s="188" t="s">
        <v>440</v>
      </c>
      <c r="G281" s="479" t="s">
        <v>669</v>
      </c>
      <c r="H281" s="7" t="s">
        <v>424</v>
      </c>
      <c r="I281" s="255">
        <v>3800</v>
      </c>
      <c r="J281" s="255">
        <v>1300</v>
      </c>
      <c r="K281" s="37">
        <f t="shared" si="30"/>
        <v>4940000</v>
      </c>
      <c r="L281" s="193" t="s">
        <v>259</v>
      </c>
      <c r="M281" s="598" t="s">
        <v>174</v>
      </c>
      <c r="N281" s="51" t="str">
        <f>IF(AND('331-CT'!$E$7=TH!H287,OR(L281="331",M281="331")),"331",IF(AND(OR(L281="131",M281="131"),H281='131-CT'!$E$7),"131",""))</f>
        <v/>
      </c>
      <c r="O281" s="891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/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IF(OR(TH!L287=TH!$W$7,M281=TH!$W$7),"x","")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IF(AND(OR(LEFT(TH!L287,2)="15",LEFT(TH!M287,2)="15"),'152-CT'!$J$8=TH!F287),"x","")</f>
        <v/>
      </c>
      <c r="Z281" s="51" t="str">
        <f>IF(AND(OR(LEFT(TH!L287,2)="15",LEFT(TH!M287,2)="15"),TK!$E$7=TH!F287),"x","")</f>
        <v/>
      </c>
      <c r="AA281" s="51" t="str">
        <f>IF(AND(B281&lt;=NKC!$N$8,B281&gt;=NKC!$M$8),"x","")</f>
        <v>x</v>
      </c>
      <c r="AB281" s="923"/>
      <c r="AC281" s="589"/>
    </row>
    <row r="282" spans="1:30" s="210" customFormat="1" ht="15.75" hidden="1" customHeight="1">
      <c r="A282" s="203" t="str">
        <f>IF(B282&lt;&gt;"",IF(AND(B282&gt;=_TM1,B282&lt;=_TM2,OR(TH!L282="1111",TH!M282="1111")),TH!D282,""),"")</f>
        <v/>
      </c>
      <c r="B282" s="36">
        <f t="shared" si="28"/>
        <v>8</v>
      </c>
      <c r="C282" s="183">
        <f t="shared" si="27"/>
        <v>42613</v>
      </c>
      <c r="D282" s="183" t="s">
        <v>745</v>
      </c>
      <c r="E282" s="190">
        <v>42613</v>
      </c>
      <c r="F282" s="188" t="s">
        <v>586</v>
      </c>
      <c r="G282" s="479" t="s">
        <v>669</v>
      </c>
      <c r="H282" s="7" t="s">
        <v>424</v>
      </c>
      <c r="I282" s="255"/>
      <c r="J282" s="255"/>
      <c r="K282" s="37">
        <v>3100000</v>
      </c>
      <c r="L282" s="193" t="s">
        <v>259</v>
      </c>
      <c r="M282" s="598" t="s">
        <v>370</v>
      </c>
      <c r="N282" s="51" t="str">
        <f>IF(AND('331-CT'!$E$7=TH!H288,OR(L282="331",M282="331")),"331",IF(AND(OR(L282="131",M282="131"),H282='131-CT'!$E$7),"131",""))</f>
        <v/>
      </c>
      <c r="O282" s="891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IF(OR(TH!L288=TH!$W$7,M282=TH!$W$7),"x","")</f>
        <v/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IF(AND(OR(LEFT(TH!L288,2)="15",LEFT(TH!M288,2)="15"),'152-CT'!$J$8=TH!F288),"x","")</f>
        <v/>
      </c>
      <c r="Z282" s="51" t="str">
        <f>IF(AND(OR(LEFT(TH!L288,2)="15",LEFT(TH!M288,2)="15"),TK!$E$7=TH!F288),"x","")</f>
        <v/>
      </c>
      <c r="AA282" s="51" t="str">
        <f>IF(AND(B282&lt;=NKC!$N$8,B282&gt;=NKC!$M$8),"x","")</f>
        <v>x</v>
      </c>
      <c r="AB282" s="924"/>
      <c r="AC282" s="589"/>
      <c r="AD282" s="589"/>
    </row>
    <row r="283" spans="1:30" s="210" customFormat="1" ht="15.75" hidden="1" customHeight="1">
      <c r="A283" s="203" t="str">
        <f>IF(B283&lt;&gt;"",IF(AND(B283&gt;=_TM1,B283&lt;=_TM2,OR(TH!L283="1111",TH!M283="1111")),TH!D283,""),"")</f>
        <v/>
      </c>
      <c r="B283" s="36">
        <f t="shared" si="28"/>
        <v>8</v>
      </c>
      <c r="C283" s="183">
        <f t="shared" si="27"/>
        <v>42613</v>
      </c>
      <c r="D283" s="183" t="s">
        <v>746</v>
      </c>
      <c r="E283" s="190">
        <v>42613</v>
      </c>
      <c r="F283" s="188" t="s">
        <v>627</v>
      </c>
      <c r="G283" s="479" t="s">
        <v>670</v>
      </c>
      <c r="H283" s="7" t="s">
        <v>422</v>
      </c>
      <c r="I283" s="255">
        <v>819</v>
      </c>
      <c r="J283" s="255">
        <v>5000</v>
      </c>
      <c r="K283" s="37">
        <f t="shared" si="30"/>
        <v>4095000</v>
      </c>
      <c r="L283" s="193" t="s">
        <v>259</v>
      </c>
      <c r="M283" s="598" t="s">
        <v>174</v>
      </c>
      <c r="N283" s="51" t="str">
        <f>IF(AND('331-CT'!$E$7=TH!H289,OR(L283="331",M283="331")),"331",IF(AND(OR(L283="131",M283="131"),H283='131-CT'!$E$7),"131",""))</f>
        <v/>
      </c>
      <c r="O283" s="891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IF(OR(TH!L289=TH!$W$7,M283=TH!$W$7),"x","")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IF(AND(OR(LEFT(TH!L289,2)="15",LEFT(TH!M289,2)="15"),'152-CT'!$J$8=TH!F289),"x","")</f>
        <v/>
      </c>
      <c r="Z283" s="51" t="str">
        <f>IF(AND(OR(LEFT(TH!L289,2)="15",LEFT(TH!M289,2)="15"),TK!$E$7=TH!F289),"x","")</f>
        <v/>
      </c>
      <c r="AA283" s="51" t="str">
        <f>IF(AND(B283&lt;=NKC!$N$8,B283&gt;=NKC!$M$8),"x","")</f>
        <v>x</v>
      </c>
      <c r="AB283" s="924"/>
      <c r="AC283" s="589"/>
      <c r="AD283" s="589"/>
    </row>
    <row r="284" spans="1:30" s="210" customFormat="1" ht="15.75" hidden="1" customHeight="1">
      <c r="A284" s="203" t="str">
        <f>IF(B284&lt;&gt;"",IF(AND(B284&gt;=_TM1,B284&lt;=_TM2,OR(TH!L284="1111",TH!M284="1111")),TH!D284,""),"")</f>
        <v/>
      </c>
      <c r="B284" s="36">
        <f t="shared" si="28"/>
        <v>8</v>
      </c>
      <c r="C284" s="183">
        <f t="shared" si="27"/>
        <v>42613</v>
      </c>
      <c r="D284" s="183" t="s">
        <v>746</v>
      </c>
      <c r="E284" s="190">
        <v>42613</v>
      </c>
      <c r="F284" s="188" t="s">
        <v>692</v>
      </c>
      <c r="G284" s="479" t="s">
        <v>670</v>
      </c>
      <c r="H284" s="7" t="s">
        <v>422</v>
      </c>
      <c r="I284" s="255">
        <v>610</v>
      </c>
      <c r="J284" s="255">
        <v>5550</v>
      </c>
      <c r="K284" s="37">
        <f t="shared" si="30"/>
        <v>3385500</v>
      </c>
      <c r="L284" s="193" t="s">
        <v>259</v>
      </c>
      <c r="M284" s="598" t="s">
        <v>174</v>
      </c>
      <c r="N284" s="51" t="str">
        <f>IF(AND('331-CT'!$E$7=TH!H290,OR(L284="331",M284="331")),"331",IF(AND(OR(L284="131",M284="131"),H284='131-CT'!$E$7),"131",""))</f>
        <v/>
      </c>
      <c r="O284" s="891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/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IF(OR(TH!L290=TH!$W$7,M284=TH!$W$7),"x","")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IF(AND(OR(LEFT(TH!L290,2)="15",LEFT(TH!M290,2)="15"),'152-CT'!$J$8=TH!F290),"x","")</f>
        <v/>
      </c>
      <c r="Z284" s="51" t="str">
        <f>IF(AND(OR(LEFT(TH!L290,2)="15",LEFT(TH!M290,2)="15"),TK!$E$7=TH!F290),"x","")</f>
        <v/>
      </c>
      <c r="AA284" s="51" t="str">
        <f>IF(AND(B284&lt;=NKC!$N$8,B284&gt;=NKC!$M$8),"x","")</f>
        <v>x</v>
      </c>
      <c r="AB284" s="924"/>
      <c r="AC284" s="589"/>
    </row>
    <row r="285" spans="1:30" s="210" customFormat="1" ht="15.75" hidden="1" customHeight="1">
      <c r="A285" s="203" t="str">
        <f>IF(B285&lt;&gt;"",IF(AND(B285&gt;=_TM1,B285&lt;=_TM2,OR(TH!L285="1111",TH!M285="1111")),TH!D285,""),"")</f>
        <v/>
      </c>
      <c r="B285" s="36">
        <f t="shared" si="28"/>
        <v>8</v>
      </c>
      <c r="C285" s="183">
        <f t="shared" si="27"/>
        <v>42613</v>
      </c>
      <c r="D285" s="183" t="s">
        <v>746</v>
      </c>
      <c r="E285" s="190">
        <v>42613</v>
      </c>
      <c r="F285" s="188" t="s">
        <v>629</v>
      </c>
      <c r="G285" s="479" t="s">
        <v>670</v>
      </c>
      <c r="H285" s="7" t="s">
        <v>422</v>
      </c>
      <c r="I285" s="255">
        <v>599</v>
      </c>
      <c r="J285" s="255">
        <v>9700</v>
      </c>
      <c r="K285" s="37">
        <f t="shared" si="30"/>
        <v>5810300</v>
      </c>
      <c r="L285" s="193" t="s">
        <v>259</v>
      </c>
      <c r="M285" s="598" t="s">
        <v>174</v>
      </c>
      <c r="N285" s="51" t="str">
        <f>IF(AND('331-CT'!$E$7=TH!H291,OR(L285="331",M285="331")),"331",IF(AND(OR(L285="131",M285="131"),H285='131-CT'!$E$7),"131",""))</f>
        <v/>
      </c>
      <c r="O285" s="891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/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IF(OR(TH!L291=TH!$W$7,M285=TH!$W$7),"x","")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IF(AND(OR(LEFT(TH!L291,2)="15",LEFT(TH!M291,2)="15"),'152-CT'!$J$8=TH!F291),"x","")</f>
        <v/>
      </c>
      <c r="Z285" s="51" t="str">
        <f>IF(AND(OR(LEFT(TH!L291,2)="15",LEFT(TH!M291,2)="15"),TK!$E$7=TH!F291),"x","")</f>
        <v/>
      </c>
      <c r="AA285" s="51" t="str">
        <f>IF(AND(B285&lt;=NKC!$N$8,B285&gt;=NKC!$M$8),"x","")</f>
        <v>x</v>
      </c>
      <c r="AB285" s="924"/>
      <c r="AC285" s="589"/>
      <c r="AD285" s="589"/>
    </row>
    <row r="286" spans="1:30" s="210" customFormat="1" ht="15.75" hidden="1" customHeight="1">
      <c r="A286" s="203" t="str">
        <f>IF(B286&lt;&gt;"",IF(AND(B286&gt;=_TM1,B286&lt;=_TM2,OR(TH!L286="1111",TH!M286="1111")),TH!D286,""),"")</f>
        <v/>
      </c>
      <c r="B286" s="36">
        <f t="shared" si="28"/>
        <v>8</v>
      </c>
      <c r="C286" s="183">
        <f t="shared" si="27"/>
        <v>42613</v>
      </c>
      <c r="D286" s="183" t="s">
        <v>746</v>
      </c>
      <c r="E286" s="190">
        <v>42613</v>
      </c>
      <c r="F286" s="188" t="s">
        <v>779</v>
      </c>
      <c r="G286" s="479" t="s">
        <v>670</v>
      </c>
      <c r="H286" s="7" t="s">
        <v>422</v>
      </c>
      <c r="I286" s="255">
        <v>305</v>
      </c>
      <c r="J286" s="255">
        <v>10670</v>
      </c>
      <c r="K286" s="37">
        <f t="shared" si="30"/>
        <v>3254350</v>
      </c>
      <c r="L286" s="193" t="s">
        <v>259</v>
      </c>
      <c r="M286" s="598" t="s">
        <v>174</v>
      </c>
      <c r="N286" s="51" t="str">
        <f>IF(AND('331-CT'!$E$7=TH!H292,OR(L286="331",M286="331")),"331",IF(AND(OR(L286="131",M286="131"),H286='131-CT'!$E$7),"131",""))</f>
        <v/>
      </c>
      <c r="O286" s="891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/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IF(OR(TH!L292=TH!$W$7,M286=TH!$W$7),"x","")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IF(AND(OR(LEFT(TH!L292,2)="15",LEFT(TH!M292,2)="15"),'152-CT'!$J$8=TH!F292),"x","")</f>
        <v/>
      </c>
      <c r="Z286" s="51" t="str">
        <f>IF(AND(OR(LEFT(TH!L292,2)="15",LEFT(TH!M292,2)="15"),TK!$E$7=TH!F292),"x","")</f>
        <v/>
      </c>
      <c r="AA286" s="51" t="str">
        <f>IF(AND(B286&lt;=NKC!$N$8,B286&gt;=NKC!$M$8),"x","")</f>
        <v>x</v>
      </c>
      <c r="AB286" s="923"/>
      <c r="AC286" s="589"/>
      <c r="AD286" s="589"/>
    </row>
    <row r="287" spans="1:30" s="210" customFormat="1" ht="15.75" hidden="1" customHeight="1">
      <c r="A287" s="203" t="str">
        <f>IF(B287&lt;&gt;"",IF(AND(B287&gt;=_TM1,B287&lt;=_TM2,OR(TH!L287="1111",TH!M287="1111")),TH!D287,""),"")</f>
        <v/>
      </c>
      <c r="B287" s="36">
        <f t="shared" si="28"/>
        <v>8</v>
      </c>
      <c r="C287" s="183">
        <f t="shared" si="27"/>
        <v>42613</v>
      </c>
      <c r="D287" s="183" t="s">
        <v>746</v>
      </c>
      <c r="E287" s="190">
        <v>42613</v>
      </c>
      <c r="F287" s="188" t="s">
        <v>586</v>
      </c>
      <c r="G287" s="479" t="s">
        <v>670</v>
      </c>
      <c r="H287" s="7" t="s">
        <v>422</v>
      </c>
      <c r="I287" s="255"/>
      <c r="J287" s="255"/>
      <c r="K287" s="37">
        <v>1654515</v>
      </c>
      <c r="L287" s="193" t="s">
        <v>259</v>
      </c>
      <c r="M287" s="598" t="s">
        <v>370</v>
      </c>
      <c r="N287" s="51" t="str">
        <f>IF(AND('331-CT'!$E$7=TH!H293,OR(L287="331",M287="331")),"331",IF(AND(OR(L287="131",M287="131"),H287='131-CT'!$E$7),"131",""))</f>
        <v/>
      </c>
      <c r="O287" s="891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/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IF(OR(TH!L293=TH!$W$7,M287=TH!$W$7),"x","")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IF(AND(OR(LEFT(TH!L293,2)="15",LEFT(TH!M293,2)="15"),'152-CT'!$J$8=TH!F293),"x","")</f>
        <v/>
      </c>
      <c r="Z287" s="51" t="str">
        <f>IF(AND(OR(LEFT(TH!L293,2)="15",LEFT(TH!M293,2)="15"),TK!$E$7=TH!F293),"x","")</f>
        <v/>
      </c>
      <c r="AA287" s="51" t="str">
        <f>IF(AND(B287&lt;=NKC!$N$8,B287&gt;=NKC!$M$8),"x","")</f>
        <v>x</v>
      </c>
      <c r="AB287" s="924"/>
      <c r="AC287" s="589"/>
      <c r="AD287" s="589"/>
    </row>
    <row r="288" spans="1:30" s="210" customFormat="1" ht="15.75" hidden="1" customHeight="1">
      <c r="A288" s="203" t="str">
        <f>IF(B288&lt;&gt;"",IF(AND(B288&gt;=_TM1,B288&lt;=_TM2,OR(TH!L288="1111",TH!M288="1111")),TH!D288,""),"")</f>
        <v/>
      </c>
      <c r="B288" s="36">
        <f t="shared" si="28"/>
        <v>9</v>
      </c>
      <c r="C288" s="183">
        <f t="shared" si="27"/>
        <v>42614</v>
      </c>
      <c r="D288" s="183" t="s">
        <v>747</v>
      </c>
      <c r="E288" s="190">
        <v>42614</v>
      </c>
      <c r="F288" s="188" t="s">
        <v>672</v>
      </c>
      <c r="G288" s="479" t="s">
        <v>671</v>
      </c>
      <c r="H288" s="7" t="s">
        <v>776</v>
      </c>
      <c r="I288" s="255">
        <v>504</v>
      </c>
      <c r="J288" s="255">
        <v>6400</v>
      </c>
      <c r="K288" s="37">
        <f t="shared" si="30"/>
        <v>3225600</v>
      </c>
      <c r="L288" s="193" t="s">
        <v>259</v>
      </c>
      <c r="M288" s="598" t="s">
        <v>174</v>
      </c>
      <c r="N288" s="51" t="str">
        <f>IF(AND('331-CT'!$E$7=TH!H294,OR(L288="331",M288="331")),"331",IF(AND(OR(L288="131",M288="131"),H288='131-CT'!$E$7),"131",""))</f>
        <v/>
      </c>
      <c r="O288" s="891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/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IF(OR(TH!L294=TH!$W$7,M288=TH!$W$7),"x","")</f>
        <v/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IF(AND(OR(LEFT(TH!L294,2)="15",LEFT(TH!M294,2)="15"),'152-CT'!$J$8=TH!F294),"x","")</f>
        <v/>
      </c>
      <c r="Z288" s="51" t="str">
        <f>IF(AND(OR(LEFT(TH!L294,2)="15",LEFT(TH!M294,2)="15"),TK!$E$7=TH!F294),"x","")</f>
        <v/>
      </c>
      <c r="AA288" s="51" t="str">
        <f>IF(AND(B288&lt;=NKC!$N$8,B288&gt;=NKC!$M$8),"x","")</f>
        <v>x</v>
      </c>
      <c r="AB288" s="923"/>
      <c r="AC288" s="589"/>
      <c r="AD288" s="589"/>
    </row>
    <row r="289" spans="1:30" s="210" customFormat="1" ht="15.75" hidden="1" customHeight="1">
      <c r="A289" s="203" t="str">
        <f>IF(B289&lt;&gt;"",IF(AND(B289&gt;=_TM1,B289&lt;=_TM2,OR(TH!L289="1111",TH!M289="1111")),TH!D289,""),"")</f>
        <v/>
      </c>
      <c r="B289" s="36">
        <f t="shared" si="28"/>
        <v>9</v>
      </c>
      <c r="C289" s="183">
        <f t="shared" si="27"/>
        <v>42614</v>
      </c>
      <c r="D289" s="183" t="s">
        <v>747</v>
      </c>
      <c r="E289" s="190">
        <v>42614</v>
      </c>
      <c r="F289" s="188" t="s">
        <v>586</v>
      </c>
      <c r="G289" s="479" t="s">
        <v>671</v>
      </c>
      <c r="H289" s="7" t="s">
        <v>776</v>
      </c>
      <c r="I289" s="255"/>
      <c r="J289" s="255"/>
      <c r="K289" s="37">
        <v>322560</v>
      </c>
      <c r="L289" s="193" t="s">
        <v>259</v>
      </c>
      <c r="M289" s="598" t="s">
        <v>370</v>
      </c>
      <c r="N289" s="51" t="str">
        <f>IF(AND('331-CT'!$E$7=TH!H295,OR(L289="331",M289="331")),"331",IF(AND(OR(L289="131",M289="131"),H289='131-CT'!$E$7),"131",""))</f>
        <v/>
      </c>
      <c r="O289" s="891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/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IF(OR(TH!L295=TH!$W$7,M289=TH!$W$7),"x","")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IF(AND(OR(LEFT(TH!L295,2)="15",LEFT(TH!M295,2)="15"),'152-CT'!$J$8=TH!F295),"x","")</f>
        <v/>
      </c>
      <c r="Z289" s="51" t="str">
        <f>IF(AND(OR(LEFT(TH!L295,2)="15",LEFT(TH!M295,2)="15"),TK!$E$7=TH!F295),"x","")</f>
        <v/>
      </c>
      <c r="AA289" s="51" t="str">
        <f>IF(AND(B289&lt;=NKC!$N$8,B289&gt;=NKC!$M$8),"x","")</f>
        <v>x</v>
      </c>
      <c r="AB289" s="924"/>
      <c r="AC289" s="589"/>
    </row>
    <row r="290" spans="1:30" s="210" customFormat="1" ht="15.75" hidden="1" customHeight="1">
      <c r="A290" s="203" t="str">
        <f>IF(B290&lt;&gt;"",IF(AND(B290&gt;=_TM1,B290&lt;=_TM2,OR(TH!L290="1111",TH!M290="1111")),TH!D290,""),"")</f>
        <v/>
      </c>
      <c r="B290" s="36">
        <f t="shared" si="28"/>
        <v>9</v>
      </c>
      <c r="C290" s="183">
        <f t="shared" si="27"/>
        <v>42614</v>
      </c>
      <c r="D290" s="183" t="s">
        <v>748</v>
      </c>
      <c r="E290" s="190">
        <v>42614</v>
      </c>
      <c r="F290" s="188" t="s">
        <v>674</v>
      </c>
      <c r="G290" s="479" t="s">
        <v>673</v>
      </c>
      <c r="H290" s="7" t="s">
        <v>428</v>
      </c>
      <c r="I290" s="255">
        <f>1330*2</f>
        <v>2660</v>
      </c>
      <c r="J290" s="255">
        <v>7350</v>
      </c>
      <c r="K290" s="37">
        <f t="shared" si="30"/>
        <v>19551000</v>
      </c>
      <c r="L290" s="193" t="s">
        <v>259</v>
      </c>
      <c r="M290" s="598" t="s">
        <v>174</v>
      </c>
      <c r="N290" s="51" t="str">
        <f>IF(AND('331-CT'!$E$7=TH!H273,OR(L290="331",M290="331")),"331",IF(AND(OR(L290="131",M290="131"),H290='131-CT'!$E$7),"131",""))</f>
        <v/>
      </c>
      <c r="O290" s="891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/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IF(OR(TH!L273=TH!$W$7,M290=TH!$W$7),"x","")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IF(AND(OR(LEFT(TH!L273,2)="15",LEFT(TH!M273,2)="15"),'152-CT'!$J$8=TH!F273),"x","")</f>
        <v/>
      </c>
      <c r="Z290" s="51" t="str">
        <f>IF(AND(OR(LEFT(TH!L273,2)="15",LEFT(TH!M273,2)="15"),TK!$E$7=TH!F273),"x","")</f>
        <v/>
      </c>
      <c r="AA290" s="51" t="str">
        <f>IF(AND(B290&lt;=NKC!$N$8,B290&gt;=NKC!$M$8),"x","")</f>
        <v>x</v>
      </c>
      <c r="AB290" s="923"/>
      <c r="AC290" s="589"/>
      <c r="AD290" s="589"/>
    </row>
    <row r="291" spans="1:30" s="210" customFormat="1" ht="15.75" hidden="1" customHeight="1">
      <c r="A291" s="203" t="str">
        <f>IF(B291&lt;&gt;"",IF(AND(B291&gt;=_TM1,B291&lt;=_TM2,OR(TH!L291="1111",TH!M291="1111")),TH!D291,""),"")</f>
        <v/>
      </c>
      <c r="B291" s="36">
        <f t="shared" si="28"/>
        <v>9</v>
      </c>
      <c r="C291" s="183">
        <f t="shared" si="27"/>
        <v>42614</v>
      </c>
      <c r="D291" s="183" t="s">
        <v>748</v>
      </c>
      <c r="E291" s="190">
        <v>42614</v>
      </c>
      <c r="F291" s="188" t="s">
        <v>586</v>
      </c>
      <c r="G291" s="479" t="s">
        <v>673</v>
      </c>
      <c r="H291" s="7" t="s">
        <v>428</v>
      </c>
      <c r="I291" s="255"/>
      <c r="J291" s="255"/>
      <c r="K291" s="37">
        <v>1955100</v>
      </c>
      <c r="L291" s="193" t="s">
        <v>259</v>
      </c>
      <c r="M291" s="598" t="s">
        <v>370</v>
      </c>
      <c r="N291" s="51" t="str">
        <f>IF(AND('331-CT'!$E$7=TH!H274,OR(L291="331",M291="331")),"331",IF(AND(OR(L291="131",M291="131"),H291='131-CT'!$E$7),"131",""))</f>
        <v/>
      </c>
      <c r="O291" s="891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IF(OR(TH!L274=TH!$W$7,M291=TH!$W$7),"x","")</f>
        <v/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IF(AND(OR(LEFT(TH!L274,2)="15",LEFT(TH!M274,2)="15"),'152-CT'!$J$8=TH!F274),"x","")</f>
        <v/>
      </c>
      <c r="Z291" s="51" t="str">
        <f>IF(AND(OR(LEFT(TH!L274,2)="15",LEFT(TH!M274,2)="15"),TK!$E$7=TH!F274),"x","")</f>
        <v/>
      </c>
      <c r="AA291" s="51" t="str">
        <f>IF(AND(B291&lt;=NKC!$N$8,B291&gt;=NKC!$M$8),"x","")</f>
        <v>x</v>
      </c>
      <c r="AB291" s="924"/>
      <c r="AC291" s="589"/>
      <c r="AD291" s="589"/>
    </row>
    <row r="292" spans="1:30" s="210" customFormat="1" ht="15.75" hidden="1" customHeight="1">
      <c r="A292" s="203" t="str">
        <f>IF(B292&lt;&gt;"",IF(AND(B292&gt;=_TM1,B292&lt;=_TM2,OR(TH!L292="1111",TH!M292="1111")),TH!D292,""),"")</f>
        <v/>
      </c>
      <c r="B292" s="36">
        <f t="shared" si="28"/>
        <v>9</v>
      </c>
      <c r="C292" s="183">
        <f t="shared" ref="C292:C354" si="31">E292</f>
        <v>42618</v>
      </c>
      <c r="D292" s="183" t="s">
        <v>749</v>
      </c>
      <c r="E292" s="190">
        <v>42618</v>
      </c>
      <c r="F292" s="188" t="s">
        <v>585</v>
      </c>
      <c r="G292" s="479" t="s">
        <v>675</v>
      </c>
      <c r="H292" s="7" t="s">
        <v>428</v>
      </c>
      <c r="I292" s="255">
        <f>412</f>
        <v>412</v>
      </c>
      <c r="J292" s="255">
        <v>11800</v>
      </c>
      <c r="K292" s="37">
        <f t="shared" si="30"/>
        <v>4861600</v>
      </c>
      <c r="L292" s="193" t="s">
        <v>259</v>
      </c>
      <c r="M292" s="598" t="s">
        <v>174</v>
      </c>
      <c r="N292" s="51" t="str">
        <f>IF(AND('331-CT'!$E$7=TH!H275,OR(L292="331",M292="331")),"331",IF(AND(OR(L292="131",M292="131"),H292='131-CT'!$E$7),"131",""))</f>
        <v/>
      </c>
      <c r="O292" s="891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IF(OR(TH!L275=TH!$W$7,M292=TH!$W$7),"x","")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IF(AND(OR(LEFT(TH!L275,2)="15",LEFT(TH!M275,2)="15"),'152-CT'!$J$8=TH!F275),"x","")</f>
        <v/>
      </c>
      <c r="Z292" s="51" t="str">
        <f>IF(AND(OR(LEFT(TH!L275,2)="15",LEFT(TH!M275,2)="15"),TK!$E$7=TH!F275),"x","")</f>
        <v/>
      </c>
      <c r="AA292" s="51" t="str">
        <f>IF(AND(B292&lt;=NKC!$N$8,B292&gt;=NKC!$M$8),"x","")</f>
        <v>x</v>
      </c>
      <c r="AB292" s="923"/>
      <c r="AC292" s="589"/>
      <c r="AD292" s="589"/>
    </row>
    <row r="293" spans="1:30" s="210" customFormat="1" ht="15.75" hidden="1" customHeight="1">
      <c r="A293" s="203" t="str">
        <f>IF(B293&lt;&gt;"",IF(AND(B293&gt;=_TM1,B293&lt;=_TM2,OR(TH!L293="1111",TH!M293="1111")),TH!D293,""),"")</f>
        <v/>
      </c>
      <c r="B293" s="36">
        <f t="shared" si="28"/>
        <v>9</v>
      </c>
      <c r="C293" s="183">
        <f t="shared" si="31"/>
        <v>42618</v>
      </c>
      <c r="D293" s="183" t="s">
        <v>749</v>
      </c>
      <c r="E293" s="190">
        <v>42618</v>
      </c>
      <c r="F293" s="188" t="s">
        <v>585</v>
      </c>
      <c r="G293" s="479" t="s">
        <v>675</v>
      </c>
      <c r="H293" s="7" t="s">
        <v>428</v>
      </c>
      <c r="I293" s="255">
        <f>102+51+51+102+76</f>
        <v>382</v>
      </c>
      <c r="J293" s="255">
        <v>9400</v>
      </c>
      <c r="K293" s="37">
        <f t="shared" si="30"/>
        <v>3590800</v>
      </c>
      <c r="L293" s="193" t="s">
        <v>259</v>
      </c>
      <c r="M293" s="598" t="s">
        <v>174</v>
      </c>
      <c r="N293" s="51" t="str">
        <f>IF(AND('331-CT'!$E$7=TH!H276,OR(L293="331",M293="331")),"331",IF(AND(OR(L293="131",M293="131"),H293='131-CT'!$E$7),"131",""))</f>
        <v/>
      </c>
      <c r="O293" s="891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/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IF(OR(TH!L276=TH!$W$7,M293=TH!$W$7),"x","")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IF(AND(OR(LEFT(TH!L276,2)="15",LEFT(TH!M276,2)="15"),'152-CT'!$J$8=TH!F276),"x","")</f>
        <v/>
      </c>
      <c r="Z293" s="51" t="str">
        <f>IF(AND(OR(LEFT(TH!L276,2)="15",LEFT(TH!M276,2)="15"),TK!$E$7=TH!F276),"x","")</f>
        <v/>
      </c>
      <c r="AA293" s="51" t="str">
        <f>IF(AND(B293&lt;=NKC!$N$8,B293&gt;=NKC!$M$8),"x","")</f>
        <v>x</v>
      </c>
      <c r="AB293" s="924"/>
      <c r="AC293" s="589"/>
      <c r="AD293" s="589"/>
    </row>
    <row r="294" spans="1:30" s="210" customFormat="1" ht="15.75" hidden="1" customHeight="1">
      <c r="A294" s="203" t="str">
        <f>IF(B294&lt;&gt;"",IF(AND(B294&gt;=_TM1,B294&lt;=_TM2,OR(TH!L294="1111",TH!M294="1111")),TH!D294,""),"")</f>
        <v/>
      </c>
      <c r="B294" s="36">
        <f t="shared" si="28"/>
        <v>9</v>
      </c>
      <c r="C294" s="183">
        <f t="shared" si="31"/>
        <v>42618</v>
      </c>
      <c r="D294" s="183" t="s">
        <v>749</v>
      </c>
      <c r="E294" s="190">
        <v>42618</v>
      </c>
      <c r="F294" s="188" t="s">
        <v>585</v>
      </c>
      <c r="G294" s="479" t="s">
        <v>675</v>
      </c>
      <c r="H294" s="7" t="s">
        <v>428</v>
      </c>
      <c r="I294" s="255">
        <v>110</v>
      </c>
      <c r="J294" s="255">
        <v>16700</v>
      </c>
      <c r="K294" s="37">
        <f t="shared" si="30"/>
        <v>1837000</v>
      </c>
      <c r="L294" s="193" t="s">
        <v>259</v>
      </c>
      <c r="M294" s="598" t="s">
        <v>174</v>
      </c>
      <c r="N294" s="51" t="str">
        <f>IF(AND('331-CT'!$E$7=TH!H277,OR(L294="331",M294="331")),"331",IF(AND(OR(L294="131",M294="131"),H294='131-CT'!$E$7),"131",""))</f>
        <v/>
      </c>
      <c r="O294" s="891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IF(OR(TH!L277=TH!$W$7,M294=TH!$W$7),"x","")</f>
        <v/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IF(AND(OR(LEFT(TH!L277,2)="15",LEFT(TH!M277,2)="15"),'152-CT'!$J$8=TH!F277),"x","")</f>
        <v/>
      </c>
      <c r="Z294" s="51" t="str">
        <f>IF(AND(OR(LEFT(TH!L277,2)="15",LEFT(TH!M277,2)="15"),TK!$E$7=TH!F277),"x","")</f>
        <v/>
      </c>
      <c r="AA294" s="51" t="str">
        <f>IF(AND(B294&lt;=NKC!$N$8,B294&gt;=NKC!$M$8),"x","")</f>
        <v>x</v>
      </c>
      <c r="AB294" s="924"/>
      <c r="AC294" s="589"/>
      <c r="AD294" s="589"/>
    </row>
    <row r="295" spans="1:30" s="210" customFormat="1" ht="15.75" hidden="1" customHeight="1">
      <c r="A295" s="203" t="str">
        <f>IF(B295&lt;&gt;"",IF(AND(B295&gt;=_TM1,B295&lt;=_TM2,OR(TH!L295="1111",TH!M295="1111")),TH!D295,""),"")</f>
        <v/>
      </c>
      <c r="B295" s="36">
        <f t="shared" si="28"/>
        <v>9</v>
      </c>
      <c r="C295" s="183">
        <f t="shared" si="31"/>
        <v>42618</v>
      </c>
      <c r="D295" s="183" t="s">
        <v>749</v>
      </c>
      <c r="E295" s="190">
        <v>42618</v>
      </c>
      <c r="F295" s="188" t="s">
        <v>585</v>
      </c>
      <c r="G295" s="479" t="s">
        <v>675</v>
      </c>
      <c r="H295" s="7" t="s">
        <v>428</v>
      </c>
      <c r="I295" s="255">
        <v>110</v>
      </c>
      <c r="J295" s="255">
        <v>6300</v>
      </c>
      <c r="K295" s="37">
        <f t="shared" si="30"/>
        <v>693000</v>
      </c>
      <c r="L295" s="193" t="s">
        <v>259</v>
      </c>
      <c r="M295" s="598" t="s">
        <v>174</v>
      </c>
      <c r="N295" s="51" t="str">
        <f>IF(AND('331-CT'!$E$7=TH!H278,OR(L295="331",M295="331")),"331",IF(AND(OR(L295="131",M295="131"),H295='131-CT'!$E$7),"131",""))</f>
        <v/>
      </c>
      <c r="O295" s="891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IF(OR(TH!L278=TH!$W$7,M295=TH!$W$7),"x","")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IF(AND(OR(LEFT(TH!L278,2)="15",LEFT(TH!M278,2)="15"),'152-CT'!$J$8=TH!F278),"x","")</f>
        <v/>
      </c>
      <c r="Z295" s="51" t="str">
        <f>IF(AND(OR(LEFT(TH!L278,2)="15",LEFT(TH!M278,2)="15"),TK!$E$7=TH!F278),"x","")</f>
        <v/>
      </c>
      <c r="AA295" s="51" t="str">
        <f>IF(AND(B295&lt;=NKC!$N$8,B295&gt;=NKC!$M$8),"x","")</f>
        <v>x</v>
      </c>
      <c r="AB295" s="924"/>
      <c r="AC295" s="589"/>
    </row>
    <row r="296" spans="1:30" s="210" customFormat="1" ht="15.75" hidden="1" customHeight="1">
      <c r="A296" s="203" t="str">
        <f>IF(B296&lt;&gt;"",IF(AND(B296&gt;=_TM1,B296&lt;=_TM2,OR(TH!L296="1111",TH!M296="1111")),TH!D296,""),"")</f>
        <v/>
      </c>
      <c r="B296" s="36">
        <f t="shared" si="28"/>
        <v>9</v>
      </c>
      <c r="C296" s="183">
        <f t="shared" si="31"/>
        <v>42618</v>
      </c>
      <c r="D296" s="183" t="s">
        <v>749</v>
      </c>
      <c r="E296" s="190">
        <v>42618</v>
      </c>
      <c r="F296" s="188" t="s">
        <v>586</v>
      </c>
      <c r="G296" s="479" t="s">
        <v>675</v>
      </c>
      <c r="H296" s="7" t="s">
        <v>428</v>
      </c>
      <c r="I296" s="255"/>
      <c r="J296" s="255"/>
      <c r="K296" s="37">
        <v>1098240</v>
      </c>
      <c r="L296" s="193" t="s">
        <v>259</v>
      </c>
      <c r="M296" s="598" t="s">
        <v>370</v>
      </c>
      <c r="N296" s="51" t="str">
        <f>IF(AND('331-CT'!$E$7=TH!H296,OR(L296="331",M296="331")),"331",IF(AND(OR(L296="131",M296="131"),H296='131-CT'!$E$7),"131",""))</f>
        <v/>
      </c>
      <c r="O296" s="891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>x</v>
      </c>
      <c r="AB296" s="924"/>
      <c r="AC296" s="589"/>
      <c r="AD296" s="589"/>
    </row>
    <row r="297" spans="1:30" s="210" customFormat="1" ht="15.75" hidden="1" customHeight="1">
      <c r="A297" s="203" t="str">
        <f>IF(B297&lt;&gt;"",IF(AND(B297&gt;=_TM1,B297&lt;=_TM2,OR(TH!L297="1111",TH!M297="1111")),TH!D297,""),"")</f>
        <v/>
      </c>
      <c r="B297" s="36">
        <f t="shared" si="28"/>
        <v>9</v>
      </c>
      <c r="C297" s="183">
        <f t="shared" si="31"/>
        <v>42618</v>
      </c>
      <c r="D297" s="183" t="s">
        <v>750</v>
      </c>
      <c r="E297" s="190">
        <v>42618</v>
      </c>
      <c r="F297" s="188" t="s">
        <v>585</v>
      </c>
      <c r="G297" s="479" t="s">
        <v>676</v>
      </c>
      <c r="H297" s="7" t="s">
        <v>428</v>
      </c>
      <c r="I297" s="255">
        <f>13+13+13+13+13</f>
        <v>65</v>
      </c>
      <c r="J297" s="255">
        <v>15600</v>
      </c>
      <c r="K297" s="37">
        <f t="shared" si="30"/>
        <v>1014000</v>
      </c>
      <c r="L297" s="193" t="s">
        <v>259</v>
      </c>
      <c r="M297" s="598" t="s">
        <v>174</v>
      </c>
      <c r="N297" s="51" t="str">
        <f>IF(AND('331-CT'!$E$7=TH!H297,OR(L297="331",M297="331")),"331",IF(AND(OR(L297="131",M297="131"),H297='131-CT'!$E$7),"131",""))</f>
        <v/>
      </c>
      <c r="O297" s="891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>x</v>
      </c>
      <c r="AB297" s="924"/>
      <c r="AC297" s="589"/>
      <c r="AD297" s="589"/>
    </row>
    <row r="298" spans="1:30" s="210" customFormat="1" ht="15.75" hidden="1" customHeight="1">
      <c r="A298" s="203" t="str">
        <f>IF(B298&lt;&gt;"",IF(AND(B298&gt;=_TM1,B298&lt;=_TM2,OR(TH!L298="1111",TH!M298="1111")),TH!D298,""),"")</f>
        <v/>
      </c>
      <c r="B298" s="36">
        <f t="shared" si="28"/>
        <v>9</v>
      </c>
      <c r="C298" s="183">
        <f t="shared" si="31"/>
        <v>42618</v>
      </c>
      <c r="D298" s="183" t="s">
        <v>750</v>
      </c>
      <c r="E298" s="190">
        <v>42618</v>
      </c>
      <c r="F298" s="188" t="s">
        <v>585</v>
      </c>
      <c r="G298" s="479" t="s">
        <v>676</v>
      </c>
      <c r="H298" s="7" t="s">
        <v>428</v>
      </c>
      <c r="I298" s="255">
        <f>580+337</f>
        <v>917</v>
      </c>
      <c r="J298" s="255">
        <v>7900</v>
      </c>
      <c r="K298" s="37">
        <f t="shared" si="30"/>
        <v>7244300</v>
      </c>
      <c r="L298" s="193" t="s">
        <v>259</v>
      </c>
      <c r="M298" s="598" t="s">
        <v>174</v>
      </c>
      <c r="N298" s="51" t="str">
        <f>IF(AND('331-CT'!$E$7=TH!H298,OR(L298="331",M298="331")),"331",IF(AND(OR(L298="131",M298="131"),H298='131-CT'!$E$7),"131",""))</f>
        <v/>
      </c>
      <c r="O298" s="891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>x</v>
      </c>
      <c r="AB298" s="924"/>
      <c r="AC298" s="589"/>
      <c r="AD298" s="589"/>
    </row>
    <row r="299" spans="1:30" s="210" customFormat="1" ht="15.75" hidden="1" customHeight="1">
      <c r="A299" s="203" t="str">
        <f>IF(B299&lt;&gt;"",IF(AND(B299&gt;=_TM1,B299&lt;=_TM2,OR(TH!L299="1111",TH!M299="1111")),TH!D299,""),"")</f>
        <v/>
      </c>
      <c r="B299" s="36">
        <f t="shared" si="28"/>
        <v>9</v>
      </c>
      <c r="C299" s="183">
        <f t="shared" si="31"/>
        <v>42618</v>
      </c>
      <c r="D299" s="183" t="s">
        <v>750</v>
      </c>
      <c r="E299" s="190">
        <v>42618</v>
      </c>
      <c r="F299" s="188" t="s">
        <v>585</v>
      </c>
      <c r="G299" s="479" t="s">
        <v>676</v>
      </c>
      <c r="H299" s="7" t="s">
        <v>428</v>
      </c>
      <c r="I299" s="255">
        <v>72</v>
      </c>
      <c r="J299" s="255">
        <v>9400</v>
      </c>
      <c r="K299" s="37">
        <f t="shared" si="30"/>
        <v>676800</v>
      </c>
      <c r="L299" s="193" t="s">
        <v>259</v>
      </c>
      <c r="M299" s="598" t="s">
        <v>174</v>
      </c>
      <c r="N299" s="51" t="str">
        <f>IF(AND('331-CT'!$E$7=TH!H299,OR(L299="331",M299="331")),"331",IF(AND(OR(L299="131",M299="131"),H299='131-CT'!$E$7),"131",""))</f>
        <v/>
      </c>
      <c r="O299" s="891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/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>x</v>
      </c>
      <c r="AB299" s="924"/>
      <c r="AC299" s="589"/>
      <c r="AD299" s="589"/>
    </row>
    <row r="300" spans="1:30" s="210" customFormat="1" ht="15.75" hidden="1" customHeight="1">
      <c r="A300" s="203" t="str">
        <f>IF(B300&lt;&gt;"",IF(AND(B300&gt;=_TM1,B300&lt;=_TM2,OR(TH!L300="1111",TH!M300="1111")),TH!D300,""),"")</f>
        <v/>
      </c>
      <c r="B300" s="36">
        <f t="shared" si="28"/>
        <v>9</v>
      </c>
      <c r="C300" s="183">
        <f t="shared" si="31"/>
        <v>42618</v>
      </c>
      <c r="D300" s="183" t="s">
        <v>750</v>
      </c>
      <c r="E300" s="190">
        <v>42618</v>
      </c>
      <c r="F300" s="188" t="s">
        <v>586</v>
      </c>
      <c r="G300" s="479" t="s">
        <v>676</v>
      </c>
      <c r="H300" s="7" t="s">
        <v>428</v>
      </c>
      <c r="I300" s="255"/>
      <c r="J300" s="255"/>
      <c r="K300" s="37">
        <v>893510</v>
      </c>
      <c r="L300" s="193" t="s">
        <v>259</v>
      </c>
      <c r="M300" s="598" t="s">
        <v>370</v>
      </c>
      <c r="N300" s="51" t="str">
        <f>IF(AND('331-CT'!$E$7=TH!H300,OR(L300="331",M300="331")),"331",IF(AND(OR(L300="131",M300="131"),H300='131-CT'!$E$7),"131",""))</f>
        <v/>
      </c>
      <c r="O300" s="891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/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>x</v>
      </c>
      <c r="AB300" s="924"/>
      <c r="AC300" s="589"/>
      <c r="AD300" s="589"/>
    </row>
    <row r="301" spans="1:30" s="210" customFormat="1" ht="15.75" hidden="1" customHeight="1">
      <c r="A301" s="203" t="str">
        <f>IF(B301&lt;&gt;"",IF(AND(B301&gt;=_TM1,B301&lt;=_TM2,OR(TH!L301="1111",TH!M301="1111")),TH!D301,""),"")</f>
        <v/>
      </c>
      <c r="B301" s="36">
        <f t="shared" si="28"/>
        <v>9</v>
      </c>
      <c r="C301" s="183">
        <f t="shared" si="31"/>
        <v>42619</v>
      </c>
      <c r="D301" s="183" t="s">
        <v>751</v>
      </c>
      <c r="E301" s="190">
        <v>42619</v>
      </c>
      <c r="F301" s="188" t="s">
        <v>608</v>
      </c>
      <c r="G301" s="479" t="s">
        <v>677</v>
      </c>
      <c r="H301" s="7" t="s">
        <v>771</v>
      </c>
      <c r="I301" s="255">
        <f>523+513</f>
        <v>1036</v>
      </c>
      <c r="J301" s="255">
        <v>5900</v>
      </c>
      <c r="K301" s="37">
        <f t="shared" si="30"/>
        <v>6112400</v>
      </c>
      <c r="L301" s="193" t="s">
        <v>259</v>
      </c>
      <c r="M301" s="598" t="s">
        <v>174</v>
      </c>
      <c r="N301" s="51" t="str">
        <f>IF(AND('331-CT'!$E$7=TH!H301,OR(L301="331",M301="331")),"331",IF(AND(OR(L301="131",M301="131"),H301='131-CT'!$E$7),"131",""))</f>
        <v/>
      </c>
      <c r="O301" s="891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/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>x</v>
      </c>
      <c r="AB301" s="924"/>
      <c r="AC301" s="589"/>
      <c r="AD301" s="589"/>
    </row>
    <row r="302" spans="1:30" s="210" customFormat="1" ht="15.75" hidden="1" customHeight="1">
      <c r="A302" s="203" t="str">
        <f>IF(B302&lt;&gt;"",IF(AND(B302&gt;=_TM1,B302&lt;=_TM2,OR(TH!L302="1111",TH!M302="1111")),TH!D302,""),"")</f>
        <v/>
      </c>
      <c r="B302" s="36">
        <f t="shared" si="28"/>
        <v>9</v>
      </c>
      <c r="C302" s="183">
        <f t="shared" si="31"/>
        <v>42619</v>
      </c>
      <c r="D302" s="183" t="s">
        <v>751</v>
      </c>
      <c r="E302" s="190">
        <v>42619</v>
      </c>
      <c r="F302" s="188" t="s">
        <v>586</v>
      </c>
      <c r="G302" s="479" t="s">
        <v>677</v>
      </c>
      <c r="H302" s="7" t="s">
        <v>771</v>
      </c>
      <c r="I302" s="255"/>
      <c r="J302" s="255"/>
      <c r="K302" s="37">
        <v>611240</v>
      </c>
      <c r="L302" s="193" t="s">
        <v>259</v>
      </c>
      <c r="M302" s="598" t="s">
        <v>370</v>
      </c>
      <c r="N302" s="51" t="str">
        <f>IF(AND('331-CT'!$E$7=TH!H302,OR(L302="331",M302="331")),"331",IF(AND(OR(L302="131",M302="131"),H302='131-CT'!$E$7),"131",""))</f>
        <v/>
      </c>
      <c r="O302" s="891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/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>x</v>
      </c>
      <c r="AB302" s="924"/>
      <c r="AC302" s="589"/>
    </row>
    <row r="303" spans="1:30" s="210" customFormat="1" ht="15.75" hidden="1" customHeight="1">
      <c r="A303" s="203" t="str">
        <f>IF(B303&lt;&gt;"",IF(AND(B303&gt;=_TM1,B303&lt;=_TM2,OR(TH!L303="1111",TH!M303="1111")),TH!D303,""),"")</f>
        <v/>
      </c>
      <c r="B303" s="36">
        <f t="shared" si="28"/>
        <v>9</v>
      </c>
      <c r="C303" s="183">
        <f t="shared" si="31"/>
        <v>42619</v>
      </c>
      <c r="D303" s="183" t="s">
        <v>752</v>
      </c>
      <c r="E303" s="190">
        <v>42619</v>
      </c>
      <c r="F303" s="188" t="s">
        <v>650</v>
      </c>
      <c r="G303" s="479" t="s">
        <v>678</v>
      </c>
      <c r="H303" s="7" t="s">
        <v>769</v>
      </c>
      <c r="I303" s="255">
        <v>212</v>
      </c>
      <c r="J303" s="255">
        <v>9300</v>
      </c>
      <c r="K303" s="37">
        <f t="shared" si="30"/>
        <v>1971600</v>
      </c>
      <c r="L303" s="193" t="s">
        <v>259</v>
      </c>
      <c r="M303" s="598" t="s">
        <v>174</v>
      </c>
      <c r="N303" s="51" t="str">
        <f>IF(AND('331-CT'!$E$7=TH!H303,OR(L303="331",M303="331")),"331",IF(AND(OR(L303="131",M303="131"),H303='131-CT'!$E$7),"131",""))</f>
        <v/>
      </c>
      <c r="O303" s="891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/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>x</v>
      </c>
      <c r="AB303" s="924"/>
      <c r="AC303" s="589"/>
      <c r="AD303" s="589"/>
    </row>
    <row r="304" spans="1:30" s="210" customFormat="1" ht="15.75" hidden="1" customHeight="1">
      <c r="A304" s="203" t="str">
        <f>IF(B304&lt;&gt;"",IF(AND(B304&gt;=_TM1,B304&lt;=_TM2,OR(TH!L304="1111",TH!M304="1111")),TH!D304,""),"")</f>
        <v/>
      </c>
      <c r="B304" s="36">
        <f t="shared" si="28"/>
        <v>9</v>
      </c>
      <c r="C304" s="183">
        <f t="shared" si="31"/>
        <v>42619</v>
      </c>
      <c r="D304" s="183" t="s">
        <v>752</v>
      </c>
      <c r="E304" s="190">
        <v>42619</v>
      </c>
      <c r="F304" s="188" t="s">
        <v>680</v>
      </c>
      <c r="G304" s="479" t="s">
        <v>678</v>
      </c>
      <c r="H304" s="7" t="s">
        <v>769</v>
      </c>
      <c r="I304" s="255"/>
      <c r="J304" s="255"/>
      <c r="K304" s="37">
        <v>197160</v>
      </c>
      <c r="L304" s="193" t="s">
        <v>259</v>
      </c>
      <c r="M304" s="598" t="s">
        <v>370</v>
      </c>
      <c r="N304" s="51" t="str">
        <f>IF(AND('331-CT'!$E$7=TH!H304,OR(L304="331",M304="331")),"331",IF(AND(OR(L304="131",M304="131"),H304='131-CT'!$E$7),"131",""))</f>
        <v/>
      </c>
      <c r="O304" s="891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/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/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>x</v>
      </c>
      <c r="AB304" s="924"/>
      <c r="AC304" s="589"/>
      <c r="AD304" s="589"/>
    </row>
    <row r="305" spans="1:30" s="210" customFormat="1" ht="15.75" hidden="1" customHeight="1">
      <c r="A305" s="203" t="str">
        <f>IF(B305&lt;&gt;"",IF(AND(B305&gt;=_TM1,B305&lt;=_TM2,OR(TH!L305="1111",TH!M305="1111")),TH!D305,""),"")</f>
        <v/>
      </c>
      <c r="B305" s="36">
        <f t="shared" si="28"/>
        <v>9</v>
      </c>
      <c r="C305" s="183">
        <f t="shared" si="31"/>
        <v>42619</v>
      </c>
      <c r="D305" s="183" t="s">
        <v>753</v>
      </c>
      <c r="E305" s="190">
        <v>42619</v>
      </c>
      <c r="F305" s="188" t="s">
        <v>585</v>
      </c>
      <c r="G305" s="479" t="s">
        <v>679</v>
      </c>
      <c r="H305" s="7" t="s">
        <v>770</v>
      </c>
      <c r="I305" s="255">
        <v>212</v>
      </c>
      <c r="J305" s="255">
        <v>9400</v>
      </c>
      <c r="K305" s="37">
        <f t="shared" si="30"/>
        <v>1992800</v>
      </c>
      <c r="L305" s="193" t="s">
        <v>259</v>
      </c>
      <c r="M305" s="598" t="s">
        <v>174</v>
      </c>
      <c r="N305" s="51" t="str">
        <f>IF(AND('331-CT'!$E$7=TH!H305,OR(L305="331",M305="331")),"331",IF(AND(OR(L305="131",M305="131"),H305='131-CT'!$E$7),"131",""))</f>
        <v/>
      </c>
      <c r="O305" s="891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/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>x</v>
      </c>
      <c r="AB305" s="923"/>
      <c r="AC305" s="589"/>
      <c r="AD305" s="589"/>
    </row>
    <row r="306" spans="1:30" s="210" customFormat="1" ht="15.75" hidden="1" customHeight="1">
      <c r="A306" s="203" t="str">
        <f>IF(B306&lt;&gt;"",IF(AND(B306&gt;=_TM1,B306&lt;=_TM2,OR(TH!L306="1111",TH!M306="1111")),TH!D306,""),"")</f>
        <v/>
      </c>
      <c r="B306" s="36">
        <f t="shared" si="28"/>
        <v>9</v>
      </c>
      <c r="C306" s="183">
        <f t="shared" si="31"/>
        <v>42619</v>
      </c>
      <c r="D306" s="183" t="s">
        <v>753</v>
      </c>
      <c r="E306" s="190">
        <v>42619</v>
      </c>
      <c r="F306" s="188" t="s">
        <v>586</v>
      </c>
      <c r="G306" s="479" t="s">
        <v>679</v>
      </c>
      <c r="H306" s="7" t="s">
        <v>770</v>
      </c>
      <c r="I306" s="255"/>
      <c r="J306" s="255"/>
      <c r="K306" s="37">
        <v>199280</v>
      </c>
      <c r="L306" s="193" t="s">
        <v>259</v>
      </c>
      <c r="M306" s="598" t="s">
        <v>370</v>
      </c>
      <c r="N306" s="51" t="str">
        <f>IF(AND('331-CT'!$E$7=TH!H306,OR(L306="331",M306="331")),"331",IF(AND(OR(L306="131",M306="131"),H306='131-CT'!$E$7),"131",""))</f>
        <v/>
      </c>
      <c r="O306" s="891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/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/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>x</v>
      </c>
      <c r="AB306" s="924"/>
      <c r="AC306" s="589"/>
      <c r="AD306" s="589"/>
    </row>
    <row r="307" spans="1:30" s="210" customFormat="1" ht="15.75" hidden="1" customHeight="1">
      <c r="A307" s="203" t="str">
        <f>IF(B307&lt;&gt;"",IF(AND(B307&gt;=_TM1,B307&lt;=_TM2,OR(TH!L307="1111",TH!M307="1111")),TH!D307,""),"")</f>
        <v/>
      </c>
      <c r="B307" s="36">
        <f t="shared" si="28"/>
        <v>9</v>
      </c>
      <c r="C307" s="183">
        <f t="shared" si="31"/>
        <v>42619</v>
      </c>
      <c r="D307" s="183" t="s">
        <v>754</v>
      </c>
      <c r="E307" s="190">
        <v>42619</v>
      </c>
      <c r="F307" s="188" t="s">
        <v>650</v>
      </c>
      <c r="G307" s="479" t="s">
        <v>681</v>
      </c>
      <c r="H307" s="7" t="s">
        <v>701</v>
      </c>
      <c r="I307" s="255">
        <f>65+62+55+65</f>
        <v>247</v>
      </c>
      <c r="J307" s="255">
        <v>10200</v>
      </c>
      <c r="K307" s="37">
        <f t="shared" si="30"/>
        <v>2519400</v>
      </c>
      <c r="L307" s="193" t="s">
        <v>259</v>
      </c>
      <c r="M307" s="598" t="s">
        <v>174</v>
      </c>
      <c r="N307" s="51" t="str">
        <f>IF(AND('331-CT'!$E$7=TH!H307,OR(L307="331",M307="331")),"331",IF(AND(OR(L307="131",M307="131"),H307='131-CT'!$E$7),"131",""))</f>
        <v/>
      </c>
      <c r="O307" s="891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/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>x</v>
      </c>
      <c r="AB307" s="923"/>
      <c r="AC307" s="589"/>
      <c r="AD307" s="589"/>
    </row>
    <row r="308" spans="1:30" s="210" customFormat="1" ht="15.75" hidden="1" customHeight="1">
      <c r="A308" s="203" t="str">
        <f>IF(B308&lt;&gt;"",IF(AND(B308&gt;=_TM1,B308&lt;=_TM2,OR(TH!L308="1111",TH!M308="1111")),TH!D308,""),"")</f>
        <v/>
      </c>
      <c r="B308" s="36">
        <f t="shared" si="28"/>
        <v>9</v>
      </c>
      <c r="C308" s="183">
        <f t="shared" si="31"/>
        <v>42619</v>
      </c>
      <c r="D308" s="183" t="s">
        <v>754</v>
      </c>
      <c r="E308" s="190">
        <v>42619</v>
      </c>
      <c r="F308" s="188" t="s">
        <v>680</v>
      </c>
      <c r="G308" s="479" t="s">
        <v>681</v>
      </c>
      <c r="H308" s="7" t="s">
        <v>701</v>
      </c>
      <c r="I308" s="255"/>
      <c r="J308" s="255"/>
      <c r="K308" s="37">
        <v>251940</v>
      </c>
      <c r="L308" s="193" t="s">
        <v>259</v>
      </c>
      <c r="M308" s="598" t="s">
        <v>370</v>
      </c>
      <c r="N308" s="51" t="str">
        <f>IF(AND('331-CT'!$E$7=TH!H308,OR(L308="331",M308="331")),"331",IF(AND(OR(L308="131",M308="131"),H308='131-CT'!$E$7),"131",""))</f>
        <v/>
      </c>
      <c r="O308" s="891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/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>x</v>
      </c>
      <c r="AB308" s="924"/>
      <c r="AC308" s="589"/>
      <c r="AD308" s="589"/>
    </row>
    <row r="309" spans="1:30" s="210" customFormat="1" ht="15.75" hidden="1" customHeight="1">
      <c r="A309" s="203" t="str">
        <f>IF(B309&lt;&gt;"",IF(AND(B309&gt;=_TM1,B309&lt;=_TM2,OR(TH!L309="1111",TH!M309="1111")),TH!D309,""),"")</f>
        <v/>
      </c>
      <c r="B309" s="36">
        <f t="shared" ref="B309:B324" si="32">IF(C309&lt;&gt;"",MONTH(C309),"")</f>
        <v>9</v>
      </c>
      <c r="C309" s="183">
        <f t="shared" si="31"/>
        <v>42620</v>
      </c>
      <c r="D309" s="183" t="s">
        <v>755</v>
      </c>
      <c r="E309" s="190">
        <v>42620</v>
      </c>
      <c r="F309" s="188" t="s">
        <v>645</v>
      </c>
      <c r="G309" s="479" t="s">
        <v>682</v>
      </c>
      <c r="H309" s="7" t="s">
        <v>426</v>
      </c>
      <c r="I309" s="255">
        <v>60</v>
      </c>
      <c r="J309" s="255">
        <v>47449</v>
      </c>
      <c r="K309" s="37">
        <f t="shared" si="30"/>
        <v>2846940</v>
      </c>
      <c r="L309" s="193" t="s">
        <v>259</v>
      </c>
      <c r="M309" s="598" t="s">
        <v>174</v>
      </c>
      <c r="N309" s="51" t="str">
        <f>IF(AND('331-CT'!$E$7=TH!H309,OR(L309="331",M309="331")),"331",IF(AND(OR(L309="131",M309="131"),H309='131-CT'!$E$7),"131",""))</f>
        <v/>
      </c>
      <c r="O309" s="891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/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>x</v>
      </c>
      <c r="AB309" s="924"/>
      <c r="AC309" s="589"/>
    </row>
    <row r="310" spans="1:30" s="210" customFormat="1" ht="15.75" hidden="1" customHeight="1">
      <c r="A310" s="203" t="str">
        <f>IF(B310&lt;&gt;"",IF(AND(B310&gt;=_TM1,B310&lt;=_TM2,OR(TH!L310="1111",TH!M310="1111")),TH!D310,""),"")</f>
        <v/>
      </c>
      <c r="B310" s="36">
        <f t="shared" si="32"/>
        <v>9</v>
      </c>
      <c r="C310" s="183">
        <f t="shared" si="31"/>
        <v>42620</v>
      </c>
      <c r="D310" s="183" t="s">
        <v>755</v>
      </c>
      <c r="E310" s="190">
        <v>42620</v>
      </c>
      <c r="F310" s="188" t="s">
        <v>585</v>
      </c>
      <c r="G310" s="479" t="s">
        <v>682</v>
      </c>
      <c r="H310" s="7" t="s">
        <v>426</v>
      </c>
      <c r="I310" s="255">
        <v>20</v>
      </c>
      <c r="J310" s="255">
        <v>54530</v>
      </c>
      <c r="K310" s="37">
        <f t="shared" si="30"/>
        <v>1090600</v>
      </c>
      <c r="L310" s="193" t="s">
        <v>259</v>
      </c>
      <c r="M310" s="598" t="s">
        <v>174</v>
      </c>
      <c r="N310" s="51" t="str">
        <f>IF(AND('331-CT'!$E$7=TH!H310,OR(L310="331",M310="331")),"331",IF(AND(OR(L310="131",M310="131"),H310='131-CT'!$E$7),"131",""))</f>
        <v/>
      </c>
      <c r="O310" s="891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/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>x</v>
      </c>
      <c r="AB310" s="924"/>
      <c r="AC310" s="589"/>
      <c r="AD310" s="589"/>
    </row>
    <row r="311" spans="1:30" s="210" customFormat="1" ht="15.75" hidden="1" customHeight="1">
      <c r="A311" s="203" t="str">
        <f>IF(B311&lt;&gt;"",IF(AND(B311&gt;=_TM1,B311&lt;=_TM2,OR(TH!L311="1111",TH!M311="1111")),TH!D311,""),"")</f>
        <v/>
      </c>
      <c r="B311" s="36">
        <f t="shared" si="32"/>
        <v>9</v>
      </c>
      <c r="C311" s="183">
        <f t="shared" si="31"/>
        <v>42620</v>
      </c>
      <c r="D311" s="183" t="s">
        <v>755</v>
      </c>
      <c r="E311" s="190">
        <v>42620</v>
      </c>
      <c r="F311" s="188" t="s">
        <v>586</v>
      </c>
      <c r="G311" s="479" t="s">
        <v>682</v>
      </c>
      <c r="H311" s="7" t="s">
        <v>426</v>
      </c>
      <c r="I311" s="255"/>
      <c r="J311" s="255"/>
      <c r="K311" s="37">
        <v>393754</v>
      </c>
      <c r="L311" s="193" t="s">
        <v>259</v>
      </c>
      <c r="M311" s="598" t="s">
        <v>370</v>
      </c>
      <c r="N311" s="51" t="str">
        <f>IF(AND('331-CT'!$E$7=TH!H311,OR(L311="331",M311="331")),"331",IF(AND(OR(L311="131",M311="131"),H311='131-CT'!$E$7),"131",""))</f>
        <v/>
      </c>
      <c r="O311" s="891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>x</v>
      </c>
      <c r="AB311" s="923"/>
      <c r="AC311" s="589"/>
      <c r="AD311" s="589"/>
    </row>
    <row r="312" spans="1:30" s="210" customFormat="1" ht="15.75" hidden="1" customHeight="1">
      <c r="A312" s="203" t="str">
        <f>IF(B312&lt;&gt;"",IF(AND(B312&gt;=_TM1,B312&lt;=_TM2,OR(TH!L312="1111",TH!M312="1111")),TH!D312,""),"")</f>
        <v/>
      </c>
      <c r="B312" s="36">
        <f t="shared" si="32"/>
        <v>9</v>
      </c>
      <c r="C312" s="183">
        <f t="shared" si="31"/>
        <v>42621</v>
      </c>
      <c r="D312" s="183" t="s">
        <v>756</v>
      </c>
      <c r="E312" s="190">
        <v>42621</v>
      </c>
      <c r="F312" s="188" t="s">
        <v>684</v>
      </c>
      <c r="G312" s="479" t="s">
        <v>683</v>
      </c>
      <c r="H312" s="7" t="s">
        <v>775</v>
      </c>
      <c r="I312" s="255">
        <v>1027</v>
      </c>
      <c r="J312" s="255">
        <v>6700</v>
      </c>
      <c r="K312" s="37">
        <f t="shared" si="30"/>
        <v>6880900</v>
      </c>
      <c r="L312" s="193" t="s">
        <v>259</v>
      </c>
      <c r="M312" s="598" t="s">
        <v>174</v>
      </c>
      <c r="N312" s="51" t="str">
        <f>IF(AND('331-CT'!$E$7=TH!H312,OR(L312="331",M312="331")),"331",IF(AND(OR(L312="131",M312="131"),H312='131-CT'!$E$7),"131",""))</f>
        <v/>
      </c>
      <c r="O312" s="891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>x</v>
      </c>
      <c r="AB312" s="924"/>
      <c r="AC312" s="589"/>
      <c r="AD312" s="589"/>
    </row>
    <row r="313" spans="1:30" s="210" customFormat="1" ht="15.75" hidden="1" customHeight="1">
      <c r="A313" s="203" t="str">
        <f>IF(B313&lt;&gt;"",IF(AND(B313&gt;=_TM1,B313&lt;=_TM2,OR(TH!L313="1111",TH!M313="1111")),TH!D313,""),"")</f>
        <v/>
      </c>
      <c r="B313" s="36">
        <f t="shared" si="32"/>
        <v>9</v>
      </c>
      <c r="C313" s="183">
        <f t="shared" si="31"/>
        <v>42621</v>
      </c>
      <c r="D313" s="183" t="s">
        <v>756</v>
      </c>
      <c r="E313" s="190">
        <v>42621</v>
      </c>
      <c r="F313" s="188" t="s">
        <v>586</v>
      </c>
      <c r="G313" s="479" t="s">
        <v>683</v>
      </c>
      <c r="H313" s="7" t="s">
        <v>775</v>
      </c>
      <c r="I313" s="255"/>
      <c r="J313" s="255"/>
      <c r="K313" s="37">
        <v>688090</v>
      </c>
      <c r="L313" s="193" t="s">
        <v>259</v>
      </c>
      <c r="M313" s="598" t="s">
        <v>370</v>
      </c>
      <c r="N313" s="51" t="str">
        <f>IF(AND('331-CT'!$E$7=TH!H313,OR(L313="331",M313="331")),"331",IF(AND(OR(L313="131",M313="131"),H313='131-CT'!$E$7),"131",""))</f>
        <v/>
      </c>
      <c r="O313" s="891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/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>x</v>
      </c>
      <c r="AB313" s="924"/>
      <c r="AC313" s="589"/>
      <c r="AD313" s="589"/>
    </row>
    <row r="314" spans="1:30" s="210" customFormat="1" ht="15.75" hidden="1" customHeight="1">
      <c r="A314" s="203" t="str">
        <f>IF(B314&lt;&gt;"",IF(AND(B314&gt;=_TM1,B314&lt;=_TM2,OR(TH!L314="1111",TH!M314="1111")),TH!D314,""),"")</f>
        <v/>
      </c>
      <c r="B314" s="36">
        <f t="shared" si="32"/>
        <v>9</v>
      </c>
      <c r="C314" s="183">
        <f t="shared" si="31"/>
        <v>42621</v>
      </c>
      <c r="D314" s="183" t="s">
        <v>757</v>
      </c>
      <c r="E314" s="190">
        <v>42621</v>
      </c>
      <c r="F314" s="188" t="s">
        <v>585</v>
      </c>
      <c r="G314" s="479" t="s">
        <v>685</v>
      </c>
      <c r="H314" s="7" t="s">
        <v>429</v>
      </c>
      <c r="I314" s="255">
        <v>300</v>
      </c>
      <c r="J314" s="255">
        <v>12400</v>
      </c>
      <c r="K314" s="37">
        <f t="shared" si="30"/>
        <v>3720000</v>
      </c>
      <c r="L314" s="193" t="s">
        <v>259</v>
      </c>
      <c r="M314" s="598" t="s">
        <v>174</v>
      </c>
      <c r="N314" s="51" t="str">
        <f>IF(AND('331-CT'!$E$7=TH!H314,OR(L314="331",M314="331")),"331",IF(AND(OR(L314="131",M314="131"),H314='131-CT'!$E$7),"131",""))</f>
        <v/>
      </c>
      <c r="O314" s="891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>x</v>
      </c>
      <c r="AB314" s="924"/>
      <c r="AC314" s="589"/>
      <c r="AD314" s="589"/>
    </row>
    <row r="315" spans="1:30" s="210" customFormat="1" ht="15.75" hidden="1" customHeight="1">
      <c r="A315" s="203" t="str">
        <f>IF(B315&lt;&gt;"",IF(AND(B315&gt;=_TM1,B315&lt;=_TM2,OR(TH!L315="1111",TH!M315="1111")),TH!D315,""),"")</f>
        <v/>
      </c>
      <c r="B315" s="36">
        <f t="shared" si="32"/>
        <v>9</v>
      </c>
      <c r="C315" s="183">
        <f t="shared" si="31"/>
        <v>42621</v>
      </c>
      <c r="D315" s="183" t="s">
        <v>757</v>
      </c>
      <c r="E315" s="190">
        <v>42621</v>
      </c>
      <c r="F315" s="188" t="s">
        <v>585</v>
      </c>
      <c r="G315" s="479" t="s">
        <v>685</v>
      </c>
      <c r="H315" s="7" t="s">
        <v>429</v>
      </c>
      <c r="I315" s="255">
        <v>300</v>
      </c>
      <c r="J315" s="255">
        <v>14200</v>
      </c>
      <c r="K315" s="37">
        <f t="shared" si="30"/>
        <v>4260000</v>
      </c>
      <c r="L315" s="193" t="s">
        <v>259</v>
      </c>
      <c r="M315" s="598" t="s">
        <v>174</v>
      </c>
      <c r="N315" s="51" t="str">
        <f>IF(AND('331-CT'!$E$7=TH!H315,OR(L315="331",M315="331")),"331",IF(AND(OR(L315="131",M315="131"),H315='131-CT'!$E$7),"131",""))</f>
        <v/>
      </c>
      <c r="O315" s="891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>x</v>
      </c>
      <c r="AB315" s="924"/>
      <c r="AC315" s="589"/>
      <c r="AD315" s="589"/>
    </row>
    <row r="316" spans="1:30" s="210" customFormat="1" ht="15.75" hidden="1" customHeight="1">
      <c r="A316" s="203" t="str">
        <f>IF(B316&lt;&gt;"",IF(AND(B316&gt;=_TM1,B316&lt;=_TM2,OR(TH!L316="1111",TH!M316="1111")),TH!D316,""),"")</f>
        <v/>
      </c>
      <c r="B316" s="36">
        <f t="shared" si="32"/>
        <v>9</v>
      </c>
      <c r="C316" s="183">
        <f t="shared" si="31"/>
        <v>42621</v>
      </c>
      <c r="D316" s="183" t="s">
        <v>757</v>
      </c>
      <c r="E316" s="190">
        <v>42621</v>
      </c>
      <c r="F316" s="188" t="s">
        <v>585</v>
      </c>
      <c r="G316" s="479" t="s">
        <v>685</v>
      </c>
      <c r="H316" s="7" t="s">
        <v>429</v>
      </c>
      <c r="I316" s="255">
        <v>300</v>
      </c>
      <c r="J316" s="255">
        <v>15300</v>
      </c>
      <c r="K316" s="37">
        <f t="shared" si="30"/>
        <v>4590000</v>
      </c>
      <c r="L316" s="193" t="s">
        <v>259</v>
      </c>
      <c r="M316" s="598" t="s">
        <v>174</v>
      </c>
      <c r="N316" s="51" t="str">
        <f>IF(AND('331-CT'!$E$7=TH!H316,OR(L316="331",M316="331")),"331",IF(AND(OR(L316="131",M316="131"),H316='131-CT'!$E$7),"131",""))</f>
        <v/>
      </c>
      <c r="O316" s="891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>x</v>
      </c>
      <c r="AB316" s="924"/>
      <c r="AC316" s="589"/>
    </row>
    <row r="317" spans="1:30" s="210" customFormat="1" ht="15.75" hidden="1" customHeight="1">
      <c r="A317" s="203" t="str">
        <f>IF(B317&lt;&gt;"",IF(AND(B317&gt;=_TM1,B317&lt;=_TM2,OR(TH!L317="1111",TH!M317="1111")),TH!D317,""),"")</f>
        <v/>
      </c>
      <c r="B317" s="36">
        <f t="shared" si="32"/>
        <v>9</v>
      </c>
      <c r="C317" s="183">
        <f t="shared" si="31"/>
        <v>42621</v>
      </c>
      <c r="D317" s="183" t="s">
        <v>757</v>
      </c>
      <c r="E317" s="190">
        <v>42621</v>
      </c>
      <c r="F317" s="188" t="s">
        <v>585</v>
      </c>
      <c r="G317" s="479" t="s">
        <v>685</v>
      </c>
      <c r="H317" s="7" t="s">
        <v>429</v>
      </c>
      <c r="I317" s="255">
        <v>300</v>
      </c>
      <c r="J317" s="255">
        <v>16500</v>
      </c>
      <c r="K317" s="37">
        <f t="shared" si="30"/>
        <v>4950000</v>
      </c>
      <c r="L317" s="193" t="s">
        <v>259</v>
      </c>
      <c r="M317" s="598" t="s">
        <v>174</v>
      </c>
      <c r="N317" s="51" t="str">
        <f>IF(AND('331-CT'!$E$7=TH!H317,OR(L317="331",M317="331")),"331",IF(AND(OR(L317="131",M317="131"),H317='131-CT'!$E$7),"131",""))</f>
        <v/>
      </c>
      <c r="O317" s="891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/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>x</v>
      </c>
      <c r="AB317" s="924"/>
      <c r="AC317" s="589"/>
      <c r="AD317" s="589"/>
    </row>
    <row r="318" spans="1:30" s="210" customFormat="1" ht="15.75" hidden="1" customHeight="1">
      <c r="A318" s="203" t="str">
        <f>IF(B318&lt;&gt;"",IF(AND(B318&gt;=_TM1,B318&lt;=_TM2,OR(TH!L318="1111",TH!M318="1111")),TH!D318,""),"")</f>
        <v/>
      </c>
      <c r="B318" s="36">
        <f t="shared" si="32"/>
        <v>9</v>
      </c>
      <c r="C318" s="183">
        <f t="shared" si="31"/>
        <v>42621</v>
      </c>
      <c r="D318" s="183" t="s">
        <v>757</v>
      </c>
      <c r="E318" s="190">
        <v>42621</v>
      </c>
      <c r="F318" s="188" t="s">
        <v>585</v>
      </c>
      <c r="G318" s="479" t="s">
        <v>685</v>
      </c>
      <c r="H318" s="7" t="s">
        <v>429</v>
      </c>
      <c r="I318" s="255">
        <v>300</v>
      </c>
      <c r="J318" s="255">
        <v>19700</v>
      </c>
      <c r="K318" s="37">
        <f t="shared" si="30"/>
        <v>5910000</v>
      </c>
      <c r="L318" s="193" t="s">
        <v>259</v>
      </c>
      <c r="M318" s="598" t="s">
        <v>174</v>
      </c>
      <c r="N318" s="51" t="str">
        <f>IF(AND('331-CT'!$E$7=TH!H318,OR(L318="331",M318="331")),"331",IF(AND(OR(L318="131",M318="131"),H318='131-CT'!$E$7),"131",""))</f>
        <v/>
      </c>
      <c r="O318" s="891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/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>x</v>
      </c>
      <c r="AB318" s="924"/>
      <c r="AC318" s="589"/>
      <c r="AD318" s="589"/>
    </row>
    <row r="319" spans="1:30" s="210" customFormat="1" ht="15.75" hidden="1" customHeight="1">
      <c r="A319" s="203" t="str">
        <f>IF(B319&lt;&gt;"",IF(AND(B319&gt;=_TM1,B319&lt;=_TM2,OR(TH!L319="1111",TH!M319="1111")),TH!D319,""),"")</f>
        <v/>
      </c>
      <c r="B319" s="36">
        <f t="shared" si="32"/>
        <v>9</v>
      </c>
      <c r="C319" s="183">
        <f t="shared" si="31"/>
        <v>42621</v>
      </c>
      <c r="D319" s="183" t="s">
        <v>757</v>
      </c>
      <c r="E319" s="190">
        <v>42621</v>
      </c>
      <c r="F319" s="188" t="s">
        <v>586</v>
      </c>
      <c r="G319" s="479" t="s">
        <v>685</v>
      </c>
      <c r="H319" s="7" t="s">
        <v>429</v>
      </c>
      <c r="I319" s="255"/>
      <c r="J319" s="255"/>
      <c r="K319" s="37">
        <v>2343000</v>
      </c>
      <c r="L319" s="193" t="s">
        <v>259</v>
      </c>
      <c r="M319" s="598" t="s">
        <v>370</v>
      </c>
      <c r="N319" s="51" t="str">
        <f>IF(AND('331-CT'!$E$7=TH!H319,OR(L319="331",M319="331")),"331",IF(AND(OR(L319="131",M319="131"),H319='131-CT'!$E$7),"131",""))</f>
        <v/>
      </c>
      <c r="O319" s="891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/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>x</v>
      </c>
      <c r="AB319" s="924"/>
      <c r="AC319" s="589"/>
      <c r="AD319" s="589"/>
    </row>
    <row r="320" spans="1:30" s="210" customFormat="1" ht="15.75" hidden="1" customHeight="1">
      <c r="A320" s="203" t="str">
        <f>IF(B320&lt;&gt;"",IF(AND(B320&gt;=_TM1,B320&lt;=_TM2,OR(TH!L320="1111",TH!M320="1111")),TH!D320,""),"")</f>
        <v/>
      </c>
      <c r="B320" s="36">
        <f t="shared" si="32"/>
        <v>9</v>
      </c>
      <c r="C320" s="183">
        <f t="shared" si="31"/>
        <v>42624</v>
      </c>
      <c r="D320" s="183" t="s">
        <v>758</v>
      </c>
      <c r="E320" s="190">
        <v>42624</v>
      </c>
      <c r="F320" s="188" t="s">
        <v>688</v>
      </c>
      <c r="G320" s="479" t="s">
        <v>686</v>
      </c>
      <c r="H320" s="192" t="s">
        <v>687</v>
      </c>
      <c r="I320" s="255">
        <v>10520</v>
      </c>
      <c r="J320" s="255">
        <v>9000</v>
      </c>
      <c r="K320" s="37">
        <f t="shared" si="30"/>
        <v>94680000</v>
      </c>
      <c r="L320" s="193" t="s">
        <v>259</v>
      </c>
      <c r="M320" s="598" t="s">
        <v>174</v>
      </c>
      <c r="N320" s="51" t="str">
        <f>IF(AND('331-CT'!$E$7=TH!H320,OR(L320="331",M320="331")),"331",IF(AND(OR(L320="131",M320="131"),H320='131-CT'!$E$7),"131",""))</f>
        <v/>
      </c>
      <c r="O320" s="891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/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/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>x</v>
      </c>
      <c r="AB320" s="924"/>
      <c r="AC320" s="589"/>
    </row>
    <row r="321" spans="1:33" s="210" customFormat="1" ht="15.75" hidden="1" customHeight="1">
      <c r="A321" s="203" t="str">
        <f>IF(B321&lt;&gt;"",IF(AND(B321&gt;=_TM1,B321&lt;=_TM2,OR(TH!L321="1111",TH!M321="1111")),TH!D321,""),"")</f>
        <v/>
      </c>
      <c r="B321" s="36">
        <f t="shared" si="32"/>
        <v>9</v>
      </c>
      <c r="C321" s="183">
        <f t="shared" si="31"/>
        <v>42624</v>
      </c>
      <c r="D321" s="183" t="s">
        <v>758</v>
      </c>
      <c r="E321" s="190">
        <v>42624</v>
      </c>
      <c r="F321" s="188" t="s">
        <v>586</v>
      </c>
      <c r="G321" s="479" t="s">
        <v>686</v>
      </c>
      <c r="H321" s="192" t="s">
        <v>687</v>
      </c>
      <c r="I321" s="255"/>
      <c r="J321" s="255"/>
      <c r="K321" s="37">
        <v>9468000</v>
      </c>
      <c r="L321" s="193" t="s">
        <v>259</v>
      </c>
      <c r="M321" s="598" t="s">
        <v>370</v>
      </c>
      <c r="N321" s="51" t="str">
        <f>IF(AND('331-CT'!$E$7=TH!H321,OR(L321="331",M321="331")),"331",IF(AND(OR(L321="131",M321="131"),H321='131-CT'!$E$7),"131",""))</f>
        <v/>
      </c>
      <c r="O321" s="891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/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>x</v>
      </c>
      <c r="AB321" s="923"/>
      <c r="AC321" s="589"/>
      <c r="AD321" s="589"/>
    </row>
    <row r="322" spans="1:33" s="210" customFormat="1" ht="15.75" hidden="1" customHeight="1">
      <c r="A322" s="203" t="str">
        <f>IF(B322&lt;&gt;"",IF(AND(B322&gt;=_TM1,B322&lt;=_TM2,OR(TH!L322="1111",TH!M322="1111")),TH!D322,""),"")</f>
        <v/>
      </c>
      <c r="B322" s="36">
        <f t="shared" si="32"/>
        <v>9</v>
      </c>
      <c r="C322" s="183">
        <f t="shared" si="31"/>
        <v>42626</v>
      </c>
      <c r="D322" s="183" t="s">
        <v>759</v>
      </c>
      <c r="E322" s="190">
        <v>42626</v>
      </c>
      <c r="F322" s="188" t="s">
        <v>585</v>
      </c>
      <c r="G322" s="479" t="s">
        <v>689</v>
      </c>
      <c r="H322" s="7" t="s">
        <v>770</v>
      </c>
      <c r="I322" s="255">
        <v>210</v>
      </c>
      <c r="J322" s="255">
        <v>9400</v>
      </c>
      <c r="K322" s="37">
        <f t="shared" si="30"/>
        <v>1974000</v>
      </c>
      <c r="L322" s="193" t="s">
        <v>259</v>
      </c>
      <c r="M322" s="598" t="s">
        <v>174</v>
      </c>
      <c r="N322" s="51" t="str">
        <f>IF(AND('331-CT'!$E$7=TH!H322,OR(L322="331",M322="331")),"331",IF(AND(OR(L322="131",M322="131"),H322='131-CT'!$E$7),"131",""))</f>
        <v/>
      </c>
      <c r="O322" s="891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/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>x</v>
      </c>
      <c r="AB322" s="924"/>
      <c r="AC322" s="589"/>
      <c r="AD322" s="589"/>
    </row>
    <row r="323" spans="1:33" s="210" customFormat="1" ht="15.75" hidden="1" customHeight="1">
      <c r="A323" s="203" t="str">
        <f>IF(B323&lt;&gt;"",IF(AND(B323&gt;=_TM1,B323&lt;=_TM2,OR(TH!L323="1111",TH!M323="1111")),TH!D323,""),"")</f>
        <v/>
      </c>
      <c r="B323" s="36">
        <f t="shared" si="32"/>
        <v>9</v>
      </c>
      <c r="C323" s="183">
        <f t="shared" si="31"/>
        <v>42626</v>
      </c>
      <c r="D323" s="183" t="s">
        <v>759</v>
      </c>
      <c r="E323" s="190">
        <v>42626</v>
      </c>
      <c r="F323" s="188" t="s">
        <v>585</v>
      </c>
      <c r="G323" s="479" t="s">
        <v>689</v>
      </c>
      <c r="H323" s="7" t="s">
        <v>770</v>
      </c>
      <c r="I323" s="255">
        <v>200</v>
      </c>
      <c r="J323" s="255">
        <v>9800</v>
      </c>
      <c r="K323" s="37">
        <f t="shared" si="30"/>
        <v>1960000</v>
      </c>
      <c r="L323" s="193" t="s">
        <v>259</v>
      </c>
      <c r="M323" s="598" t="s">
        <v>174</v>
      </c>
      <c r="N323" s="51" t="str">
        <f>IF(AND('331-CT'!$E$7=TH!H323,OR(L323="331",M323="331")),"331",IF(AND(OR(L323="131",M323="131"),H323='131-CT'!$E$7),"131",""))</f>
        <v/>
      </c>
      <c r="O323" s="891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/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>x</v>
      </c>
      <c r="AB323" s="923"/>
      <c r="AC323" s="589"/>
    </row>
    <row r="324" spans="1:33" s="210" customFormat="1" ht="15.75" hidden="1" customHeight="1">
      <c r="A324" s="203" t="str">
        <f>IF(B324&lt;&gt;"",IF(AND(B324&gt;=_TM1,B324&lt;=_TM2,OR(TH!L324="1111",TH!M324="1111")),TH!D324,""),"")</f>
        <v/>
      </c>
      <c r="B324" s="36">
        <f t="shared" si="32"/>
        <v>9</v>
      </c>
      <c r="C324" s="183">
        <f t="shared" si="31"/>
        <v>42626</v>
      </c>
      <c r="D324" s="183" t="s">
        <v>759</v>
      </c>
      <c r="E324" s="190">
        <v>42626</v>
      </c>
      <c r="F324" s="188" t="s">
        <v>585</v>
      </c>
      <c r="G324" s="479" t="s">
        <v>689</v>
      </c>
      <c r="H324" s="7" t="s">
        <v>770</v>
      </c>
      <c r="I324" s="255">
        <v>171</v>
      </c>
      <c r="J324" s="255">
        <v>11250</v>
      </c>
      <c r="K324" s="37">
        <f t="shared" si="30"/>
        <v>1923750</v>
      </c>
      <c r="L324" s="193" t="s">
        <v>259</v>
      </c>
      <c r="M324" s="598" t="s">
        <v>174</v>
      </c>
      <c r="N324" s="51" t="str">
        <f>IF(AND('331-CT'!$E$7=TH!H324,OR(L324="331",M324="331")),"331",IF(AND(OR(L324="131",M324="131"),H324='131-CT'!$E$7),"131",""))</f>
        <v/>
      </c>
      <c r="O324" s="891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/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/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>x</v>
      </c>
      <c r="AB324" s="924"/>
      <c r="AC324" s="589"/>
      <c r="AD324" s="589"/>
    </row>
    <row r="325" spans="1:33" s="210" customFormat="1" ht="15.75" hidden="1" customHeight="1">
      <c r="A325" s="203" t="str">
        <f>IF(B325&lt;&gt;"",IF(AND(B325&gt;=_TM1,B325&lt;=_TM2,OR(TH!L325="1111",TH!M325="1111")),TH!D325,""),"")</f>
        <v/>
      </c>
      <c r="B325" s="36">
        <f t="shared" ref="B325:B388" si="33">IF(C325&lt;&gt;"",MONTH(C325),"")</f>
        <v>9</v>
      </c>
      <c r="C325" s="183">
        <f t="shared" si="31"/>
        <v>42626</v>
      </c>
      <c r="D325" s="183" t="s">
        <v>759</v>
      </c>
      <c r="E325" s="190">
        <v>42626</v>
      </c>
      <c r="F325" s="188" t="s">
        <v>586</v>
      </c>
      <c r="G325" s="479" t="s">
        <v>689</v>
      </c>
      <c r="H325" s="7" t="s">
        <v>770</v>
      </c>
      <c r="I325" s="255"/>
      <c r="J325" s="255"/>
      <c r="K325" s="37">
        <v>585775</v>
      </c>
      <c r="L325" s="193" t="s">
        <v>259</v>
      </c>
      <c r="M325" s="598" t="s">
        <v>370</v>
      </c>
      <c r="N325" s="51" t="str">
        <f>IF(AND('331-CT'!$E$7=TH!H356,OR(L325="331",M325="331")),"331",IF(AND(OR(L325="131",M325="131"),H325='131-CT'!$E$7),"131",""))</f>
        <v/>
      </c>
      <c r="O325" s="891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/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IF(OR(TH!L356=TH!$W$7,M325=TH!$W$7),"x","")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IF(AND(OR(LEFT(TH!L356,2)="15",LEFT(TH!M356,2)="15"),'152-CT'!$J$8=TH!F356),"x","")</f>
        <v/>
      </c>
      <c r="Z325" s="51" t="str">
        <f>IF(AND(OR(LEFT(TH!L356,2)="15",LEFT(TH!M356,2)="15"),TK!$E$7=TH!F356),"x","")</f>
        <v/>
      </c>
      <c r="AA325" s="51" t="str">
        <f>IF(AND(B325&lt;=NKC!$N$8,B325&gt;=NKC!$M$8),"x","")</f>
        <v>x</v>
      </c>
      <c r="AB325" s="923"/>
      <c r="AC325" s="589"/>
      <c r="AD325" s="589"/>
      <c r="AF325" s="589"/>
      <c r="AG325" s="589"/>
    </row>
    <row r="326" spans="1:33" s="210" customFormat="1" ht="15.75" hidden="1" customHeight="1">
      <c r="A326" s="203" t="str">
        <f>IF(B326&lt;&gt;"",IF(AND(B326&gt;=_TM1,B326&lt;=_TM2,OR(TH!L326="1111",TH!M326="1111")),TH!D326,""),"")</f>
        <v/>
      </c>
      <c r="B326" s="36">
        <f t="shared" si="33"/>
        <v>9</v>
      </c>
      <c r="C326" s="183">
        <f t="shared" si="31"/>
        <v>42627</v>
      </c>
      <c r="D326" s="183" t="s">
        <v>760</v>
      </c>
      <c r="E326" s="190">
        <v>42627</v>
      </c>
      <c r="F326" s="188" t="s">
        <v>585</v>
      </c>
      <c r="G326" s="479" t="s">
        <v>690</v>
      </c>
      <c r="H326" s="7" t="s">
        <v>436</v>
      </c>
      <c r="I326" s="255">
        <v>2400</v>
      </c>
      <c r="J326" s="255">
        <v>5200</v>
      </c>
      <c r="K326" s="37">
        <f t="shared" si="30"/>
        <v>12480000</v>
      </c>
      <c r="L326" s="193" t="s">
        <v>259</v>
      </c>
      <c r="M326" s="598" t="s">
        <v>174</v>
      </c>
      <c r="N326" s="51" t="str">
        <f>IF(AND('331-CT'!$E$7=TH!H357,OR(L326="331",M326="331")),"331",IF(AND(OR(L326="131",M326="131"),H326='131-CT'!$E$7),"131",""))</f>
        <v/>
      </c>
      <c r="O326" s="891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/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IF(OR(TH!L357=TH!$W$7,M326=TH!$W$7),"x","")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IF(AND(OR(LEFT(TH!L357,2)="15",LEFT(TH!M357,2)="15"),'152-CT'!$J$8=TH!F357),"x","")</f>
        <v/>
      </c>
      <c r="Z326" s="51" t="str">
        <f>IF(AND(OR(LEFT(TH!L357,2)="15",LEFT(TH!M357,2)="15"),TK!$E$7=TH!F357),"x","")</f>
        <v/>
      </c>
      <c r="AA326" s="51" t="str">
        <f>IF(AND(B326&lt;=NKC!$N$8,B326&gt;=NKC!$M$8),"x","")</f>
        <v>x</v>
      </c>
      <c r="AB326" s="923"/>
      <c r="AC326" s="589"/>
      <c r="AF326" s="589"/>
      <c r="AG326" s="589"/>
    </row>
    <row r="327" spans="1:33" s="210" customFormat="1" ht="15.75" hidden="1" customHeight="1">
      <c r="A327" s="203" t="str">
        <f>IF(B327&lt;&gt;"",IF(AND(B327&gt;=_TM1,B327&lt;=_TM2,OR(TH!L327="1111",TH!M327="1111")),TH!D327,""),"")</f>
        <v/>
      </c>
      <c r="B327" s="36">
        <f t="shared" si="33"/>
        <v>9</v>
      </c>
      <c r="C327" s="183">
        <f t="shared" si="31"/>
        <v>42627</v>
      </c>
      <c r="D327" s="183" t="s">
        <v>760</v>
      </c>
      <c r="E327" s="190">
        <v>42627</v>
      </c>
      <c r="F327" s="188" t="s">
        <v>585</v>
      </c>
      <c r="G327" s="479" t="s">
        <v>690</v>
      </c>
      <c r="H327" s="7" t="s">
        <v>436</v>
      </c>
      <c r="I327" s="255">
        <v>500</v>
      </c>
      <c r="J327" s="255">
        <v>10200</v>
      </c>
      <c r="K327" s="37">
        <f t="shared" si="30"/>
        <v>5100000</v>
      </c>
      <c r="L327" s="193" t="s">
        <v>259</v>
      </c>
      <c r="M327" s="598" t="s">
        <v>174</v>
      </c>
      <c r="N327" s="51" t="str">
        <f>IF(AND('331-CT'!$E$7=TH!H454,OR(L327="331",M327="331")),"331",IF(AND(OR(L327="131",M327="131"),H327='131-CT'!$E$7),"131",""))</f>
        <v/>
      </c>
      <c r="O327" s="891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/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IF(OR(TH!L454=TH!$W$7,M327=TH!$W$7),"x","")</f>
        <v/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IF(AND(OR(LEFT(TH!L454,2)="15",LEFT(TH!M454,2)="15"),'152-CT'!$J$8=TH!F454),"x","")</f>
        <v/>
      </c>
      <c r="Z327" s="51" t="str">
        <f>IF(AND(OR(LEFT(TH!L454,2)="15",LEFT(TH!M454,2)="15"),TK!$E$7=TH!F454),"x","")</f>
        <v/>
      </c>
      <c r="AA327" s="51" t="str">
        <f>IF(AND(B327&lt;=NKC!$N$8,B327&gt;=NKC!$M$8),"x","")</f>
        <v>x</v>
      </c>
      <c r="AB327" s="923"/>
      <c r="AC327" s="589"/>
      <c r="AD327" s="589"/>
      <c r="AF327" s="589"/>
      <c r="AG327" s="589"/>
    </row>
    <row r="328" spans="1:33" s="589" customFormat="1" ht="15.75" hidden="1" customHeight="1">
      <c r="A328" s="203" t="str">
        <f>IF(B328&lt;&gt;"",IF(AND(B328&gt;=_TM1,B328&lt;=_TM2,OR(TH!L328="1111",TH!M328="1111")),TH!D328,""),"")</f>
        <v/>
      </c>
      <c r="B328" s="36">
        <f t="shared" si="33"/>
        <v>9</v>
      </c>
      <c r="C328" s="183">
        <f t="shared" si="31"/>
        <v>42627</v>
      </c>
      <c r="D328" s="183" t="s">
        <v>760</v>
      </c>
      <c r="E328" s="190">
        <v>42627</v>
      </c>
      <c r="F328" s="188" t="s">
        <v>586</v>
      </c>
      <c r="G328" s="479" t="s">
        <v>690</v>
      </c>
      <c r="H328" s="7" t="s">
        <v>436</v>
      </c>
      <c r="I328" s="255"/>
      <c r="J328" s="255"/>
      <c r="K328" s="37">
        <v>1758000</v>
      </c>
      <c r="L328" s="193" t="s">
        <v>259</v>
      </c>
      <c r="M328" s="598" t="s">
        <v>370</v>
      </c>
      <c r="N328" s="51" t="str">
        <f>IF(AND('331-CT'!$E$7=TH!H455,OR(L328="331",M328="331")),"331",IF(AND(OR(L328="131",M328="131"),H328='131-CT'!$E$7),"131",""))</f>
        <v/>
      </c>
      <c r="O328" s="891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/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IF(OR(TH!L455=TH!$W$7,M328=TH!$W$7),"x","")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IF(AND(OR(LEFT(TH!L455,2)="15",LEFT(TH!M455,2)="15"),'152-CT'!$J$8=TH!F455),"x","")</f>
        <v/>
      </c>
      <c r="Z328" s="51" t="str">
        <f>IF(AND(OR(LEFT(TH!L455,2)="15",LEFT(TH!M455,2)="15"),TK!$E$7=TH!F455),"x","")</f>
        <v/>
      </c>
      <c r="AA328" s="51" t="str">
        <f>IF(AND(B328&lt;=NKC!$N$8,B328&gt;=NKC!$M$8),"x","")</f>
        <v>x</v>
      </c>
      <c r="AB328" s="923"/>
      <c r="AE328" s="210"/>
    </row>
    <row r="329" spans="1:33" s="589" customFormat="1" ht="15.75" hidden="1" customHeight="1">
      <c r="A329" s="203" t="str">
        <f>IF(B329&lt;&gt;"",IF(AND(B329&gt;=_TM1,B329&lt;=_TM2,OR(TH!L329="1111",TH!M329="1111")),TH!D329,""),"")</f>
        <v/>
      </c>
      <c r="B329" s="36">
        <f t="shared" si="33"/>
        <v>9</v>
      </c>
      <c r="C329" s="183">
        <f t="shared" si="31"/>
        <v>42628</v>
      </c>
      <c r="D329" s="183" t="s">
        <v>761</v>
      </c>
      <c r="E329" s="190">
        <v>42628</v>
      </c>
      <c r="F329" s="188" t="s">
        <v>627</v>
      </c>
      <c r="G329" s="479" t="s">
        <v>691</v>
      </c>
      <c r="H329" s="7" t="s">
        <v>422</v>
      </c>
      <c r="I329" s="255">
        <v>1820</v>
      </c>
      <c r="J329" s="255">
        <v>5000</v>
      </c>
      <c r="K329" s="37">
        <f t="shared" si="30"/>
        <v>9100000</v>
      </c>
      <c r="L329" s="193" t="s">
        <v>259</v>
      </c>
      <c r="M329" s="598" t="s">
        <v>174</v>
      </c>
      <c r="N329" s="51" t="str">
        <f>IF(AND('331-CT'!$E$7=TH!H456,OR(L329="331",M329="331")),"331",IF(AND(OR(L329="131",M329="131"),H329='131-CT'!$E$7),"131",""))</f>
        <v/>
      </c>
      <c r="O329" s="891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IF(OR(TH!L456=TH!$W$7,M329=TH!$W$7),"x","")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IF(AND(OR(LEFT(TH!L456,2)="15",LEFT(TH!M456,2)="15"),'152-CT'!$J$8=TH!F456),"x","")</f>
        <v/>
      </c>
      <c r="Z329" s="51" t="str">
        <f>IF(AND(OR(LEFT(TH!L456,2)="15",LEFT(TH!M456,2)="15"),TK!$E$7=TH!F456),"x","")</f>
        <v/>
      </c>
      <c r="AA329" s="51" t="str">
        <f>IF(AND(B329&lt;=NKC!$N$8,B329&gt;=NKC!$M$8),"x","")</f>
        <v>x</v>
      </c>
      <c r="AB329" s="923"/>
      <c r="AE329" s="210"/>
    </row>
    <row r="330" spans="1:33" s="589" customFormat="1" ht="15.75" hidden="1" customHeight="1">
      <c r="A330" s="203" t="str">
        <f>IF(B330&lt;&gt;"",IF(AND(B330&gt;=_TM1,B330&lt;=_TM2,OR(TH!L330="1111",TH!M330="1111")),TH!D330,""),"")</f>
        <v/>
      </c>
      <c r="B330" s="36">
        <f t="shared" si="33"/>
        <v>9</v>
      </c>
      <c r="C330" s="183">
        <f t="shared" si="31"/>
        <v>42628</v>
      </c>
      <c r="D330" s="183" t="s">
        <v>761</v>
      </c>
      <c r="E330" s="190">
        <v>42628</v>
      </c>
      <c r="F330" s="188" t="s">
        <v>692</v>
      </c>
      <c r="G330" s="479" t="s">
        <v>691</v>
      </c>
      <c r="H330" s="7" t="s">
        <v>422</v>
      </c>
      <c r="I330" s="255">
        <v>620</v>
      </c>
      <c r="J330" s="255">
        <v>5550</v>
      </c>
      <c r="K330" s="37">
        <f t="shared" si="30"/>
        <v>3441000</v>
      </c>
      <c r="L330" s="193" t="s">
        <v>259</v>
      </c>
      <c r="M330" s="598" t="s">
        <v>174</v>
      </c>
      <c r="N330" s="51" t="str">
        <f>IF(AND('331-CT'!$E$7=TH!H457,OR(L330="331",M330="331")),"331",IF(AND(OR(L330="131",M330="131"),H330='131-CT'!$E$7),"131",""))</f>
        <v/>
      </c>
      <c r="O330" s="891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IF(OR(TH!L457=TH!$W$7,M330=TH!$W$7),"x","")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IF(AND(OR(LEFT(TH!L457,2)="15",LEFT(TH!M457,2)="15"),'152-CT'!$J$8=TH!F457),"x","")</f>
        <v/>
      </c>
      <c r="Z330" s="51" t="str">
        <f>IF(AND(OR(LEFT(TH!L457,2)="15",LEFT(TH!M457,2)="15"),TK!$E$7=TH!F457),"x","")</f>
        <v/>
      </c>
      <c r="AA330" s="51" t="str">
        <f>IF(AND(B330&lt;=NKC!$N$8,B330&gt;=NKC!$M$8),"x","")</f>
        <v>x</v>
      </c>
      <c r="AB330" s="923"/>
      <c r="AE330" s="210"/>
    </row>
    <row r="331" spans="1:33" s="589" customFormat="1" ht="15.75" hidden="1" customHeight="1">
      <c r="A331" s="203" t="str">
        <f>IF(B331&lt;&gt;"",IF(AND(B331&gt;=_TM1,B331&lt;=_TM2,OR(TH!L331="1111",TH!M331="1111")),TH!D331,""),"")</f>
        <v/>
      </c>
      <c r="B331" s="36">
        <f t="shared" si="33"/>
        <v>9</v>
      </c>
      <c r="C331" s="183">
        <f t="shared" si="31"/>
        <v>42628</v>
      </c>
      <c r="D331" s="183" t="s">
        <v>761</v>
      </c>
      <c r="E331" s="190">
        <v>42628</v>
      </c>
      <c r="F331" s="188" t="s">
        <v>693</v>
      </c>
      <c r="G331" s="479" t="s">
        <v>691</v>
      </c>
      <c r="H331" s="7" t="s">
        <v>422</v>
      </c>
      <c r="I331" s="255">
        <v>304</v>
      </c>
      <c r="J331" s="255">
        <v>5800</v>
      </c>
      <c r="K331" s="37">
        <f t="shared" si="30"/>
        <v>1763200</v>
      </c>
      <c r="L331" s="193" t="s">
        <v>259</v>
      </c>
      <c r="M331" s="598" t="s">
        <v>174</v>
      </c>
      <c r="N331" s="51" t="str">
        <f>IF(AND('331-CT'!$E$7=TH!H458,OR(L331="331",M331="331")),"331",IF(AND(OR(L331="131",M331="131"),H331='131-CT'!$E$7),"131",""))</f>
        <v/>
      </c>
      <c r="O331" s="891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/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IF(OR(TH!L458=TH!$W$7,M331=TH!$W$7),"x","")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IF(AND(OR(LEFT(TH!L458,2)="15",LEFT(TH!M458,2)="15"),'152-CT'!$J$8=TH!F458),"x","")</f>
        <v/>
      </c>
      <c r="Z331" s="51" t="str">
        <f>IF(AND(OR(LEFT(TH!L458,2)="15",LEFT(TH!M458,2)="15"),TK!$E$7=TH!F458),"x","")</f>
        <v/>
      </c>
      <c r="AA331" s="51" t="str">
        <f>IF(AND(B331&lt;=NKC!$N$8,B331&gt;=NKC!$M$8),"x","")</f>
        <v>x</v>
      </c>
      <c r="AB331" s="923"/>
      <c r="AE331" s="210"/>
    </row>
    <row r="332" spans="1:33" s="589" customFormat="1" ht="15.75" hidden="1" customHeight="1">
      <c r="A332" s="203" t="str">
        <f>IF(B332&lt;&gt;"",IF(AND(B332&gt;=_TM1,B332&lt;=_TM2,OR(TH!L332="1111",TH!M332="1111")),TH!D332,""),"")</f>
        <v/>
      </c>
      <c r="B332" s="36">
        <f t="shared" si="33"/>
        <v>9</v>
      </c>
      <c r="C332" s="183">
        <f t="shared" si="31"/>
        <v>42628</v>
      </c>
      <c r="D332" s="183" t="s">
        <v>761</v>
      </c>
      <c r="E332" s="190">
        <v>42628</v>
      </c>
      <c r="F332" s="188" t="s">
        <v>694</v>
      </c>
      <c r="G332" s="479" t="s">
        <v>691</v>
      </c>
      <c r="H332" s="7" t="s">
        <v>422</v>
      </c>
      <c r="I332" s="255">
        <v>316</v>
      </c>
      <c r="J332" s="255">
        <v>5600</v>
      </c>
      <c r="K332" s="37">
        <f t="shared" si="30"/>
        <v>1769600</v>
      </c>
      <c r="L332" s="193" t="s">
        <v>259</v>
      </c>
      <c r="M332" s="598" t="s">
        <v>174</v>
      </c>
      <c r="N332" s="51" t="str">
        <f>IF(AND('331-CT'!$E$7=TH!H459,OR(L332="331",M332="331")),"331",IF(AND(OR(L332="131",M332="131"),H332='131-CT'!$E$7),"131",""))</f>
        <v/>
      </c>
      <c r="O332" s="891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/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IF(OR(TH!L459=TH!$W$7,M332=TH!$W$7),"x","")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IF(AND(OR(LEFT(TH!L459,2)="15",LEFT(TH!M459,2)="15"),'152-CT'!$J$8=TH!F459),"x","")</f>
        <v/>
      </c>
      <c r="Z332" s="51" t="str">
        <f>IF(AND(OR(LEFT(TH!L459,2)="15",LEFT(TH!M459,2)="15"),TK!$E$7=TH!F459),"x","")</f>
        <v/>
      </c>
      <c r="AA332" s="51" t="str">
        <f>IF(AND(B332&lt;=NKC!$N$8,B332&gt;=NKC!$M$8),"x","")</f>
        <v>x</v>
      </c>
      <c r="AB332" s="923"/>
      <c r="AE332" s="210"/>
    </row>
    <row r="333" spans="1:33" s="589" customFormat="1" ht="15.75" hidden="1" customHeight="1">
      <c r="A333" s="203" t="str">
        <f>IF(B333&lt;&gt;"",IF(AND(B333&gt;=_TM1,B333&lt;=_TM2,OR(TH!L333="1111",TH!M333="1111")),TH!D333,""),"")</f>
        <v/>
      </c>
      <c r="B333" s="36">
        <f t="shared" si="33"/>
        <v>9</v>
      </c>
      <c r="C333" s="183">
        <f t="shared" si="31"/>
        <v>42628</v>
      </c>
      <c r="D333" s="183" t="s">
        <v>761</v>
      </c>
      <c r="E333" s="190">
        <v>42628</v>
      </c>
      <c r="F333" s="188" t="s">
        <v>586</v>
      </c>
      <c r="G333" s="479" t="s">
        <v>691</v>
      </c>
      <c r="H333" s="7" t="s">
        <v>422</v>
      </c>
      <c r="I333" s="255"/>
      <c r="J333" s="255"/>
      <c r="K333" s="37">
        <v>1607380</v>
      </c>
      <c r="L333" s="193" t="s">
        <v>259</v>
      </c>
      <c r="M333" s="598" t="s">
        <v>370</v>
      </c>
      <c r="N333" s="51" t="str">
        <f>IF(AND('331-CT'!$E$7=TH!H460,OR(L333="331",M333="331")),"331",IF(AND(OR(L333="131",M333="131"),H333='131-CT'!$E$7),"131",""))</f>
        <v/>
      </c>
      <c r="O333" s="891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/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IF(OR(TH!L460=TH!$W$7,M333=TH!$W$7),"x","")</f>
        <v/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IF(AND(OR(LEFT(TH!L460,2)="15",LEFT(TH!M460,2)="15"),'152-CT'!$J$8=TH!F460),"x","")</f>
        <v/>
      </c>
      <c r="Z333" s="51" t="str">
        <f>IF(AND(OR(LEFT(TH!L460,2)="15",LEFT(TH!M460,2)="15"),TK!$E$7=TH!F460),"x","")</f>
        <v/>
      </c>
      <c r="AA333" s="51" t="str">
        <f>IF(AND(B333&lt;=NKC!$N$8,B333&gt;=NKC!$M$8),"x","")</f>
        <v>x</v>
      </c>
      <c r="AB333" s="923"/>
      <c r="AE333" s="210"/>
    </row>
    <row r="334" spans="1:33" s="589" customFormat="1" ht="15.75" hidden="1" customHeight="1">
      <c r="A334" s="203" t="str">
        <f>IF(B334&lt;&gt;"",IF(AND(B334&gt;=_TM1,B334&lt;=_TM2,OR(TH!L334="1111",TH!M334="1111")),TH!D334,""),"")</f>
        <v/>
      </c>
      <c r="B334" s="36">
        <f t="shared" si="33"/>
        <v>9</v>
      </c>
      <c r="C334" s="183">
        <f t="shared" si="31"/>
        <v>42635</v>
      </c>
      <c r="D334" s="183" t="s">
        <v>762</v>
      </c>
      <c r="E334" s="190">
        <v>42635</v>
      </c>
      <c r="F334" s="188" t="s">
        <v>618</v>
      </c>
      <c r="G334" s="479" t="s">
        <v>695</v>
      </c>
      <c r="H334" s="7" t="s">
        <v>423</v>
      </c>
      <c r="I334" s="255">
        <v>300</v>
      </c>
      <c r="J334" s="255">
        <v>10500</v>
      </c>
      <c r="K334" s="37">
        <f t="shared" si="30"/>
        <v>3150000</v>
      </c>
      <c r="L334" s="193" t="s">
        <v>259</v>
      </c>
      <c r="M334" s="598" t="s">
        <v>174</v>
      </c>
      <c r="N334" s="51" t="str">
        <f>IF(AND('331-CT'!$E$7=TH!H461,OR(L334="331",M334="331")),"331",IF(AND(OR(L334="131",M334="131"),H334='131-CT'!$E$7),"131",""))</f>
        <v/>
      </c>
      <c r="O334" s="891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/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IF(OR(TH!L461=TH!$W$7,M334=TH!$W$7),"x","")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IF(AND(OR(LEFT(TH!L461,2)="15",LEFT(TH!M461,2)="15"),'152-CT'!$J$8=TH!F461),"x","")</f>
        <v/>
      </c>
      <c r="Z334" s="51" t="str">
        <f>IF(AND(OR(LEFT(TH!L461,2)="15",LEFT(TH!M461,2)="15"),TK!$E$7=TH!F461),"x","")</f>
        <v/>
      </c>
      <c r="AA334" s="51" t="str">
        <f>IF(AND(B334&lt;=NKC!$N$8,B334&gt;=NKC!$M$8),"x","")</f>
        <v>x</v>
      </c>
      <c r="AB334" s="923"/>
      <c r="AE334" s="210"/>
    </row>
    <row r="335" spans="1:33" s="589" customFormat="1" ht="15.75" hidden="1" customHeight="1">
      <c r="A335" s="203" t="str">
        <f>IF(B335&lt;&gt;"",IF(AND(B335&gt;=_TM1,B335&lt;=_TM2,OR(TH!L335="1111",TH!M335="1111")),TH!D335,""),"")</f>
        <v/>
      </c>
      <c r="B335" s="36">
        <f t="shared" si="33"/>
        <v>9</v>
      </c>
      <c r="C335" s="183">
        <f t="shared" si="31"/>
        <v>42635</v>
      </c>
      <c r="D335" s="183" t="s">
        <v>762</v>
      </c>
      <c r="E335" s="190">
        <v>42635</v>
      </c>
      <c r="F335" s="188" t="s">
        <v>586</v>
      </c>
      <c r="G335" s="479" t="s">
        <v>695</v>
      </c>
      <c r="H335" s="7" t="s">
        <v>423</v>
      </c>
      <c r="I335" s="255"/>
      <c r="J335" s="255"/>
      <c r="K335" s="37">
        <v>315000</v>
      </c>
      <c r="L335" s="193" t="s">
        <v>259</v>
      </c>
      <c r="M335" s="598" t="s">
        <v>370</v>
      </c>
      <c r="N335" s="51" t="str">
        <f>IF(AND('331-CT'!$E$7=TH!H462,OR(L335="331",M335="331")),"331",IF(AND(OR(L335="131",M335="131"),H335='131-CT'!$E$7),"131",""))</f>
        <v/>
      </c>
      <c r="O335" s="891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/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IF(OR(TH!L462=TH!$W$7,M335=TH!$W$7),"x","")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IF(AND(OR(LEFT(TH!L462,2)="15",LEFT(TH!M462,2)="15"),'152-CT'!$J$8=TH!F462),"x","")</f>
        <v/>
      </c>
      <c r="Z335" s="51" t="str">
        <f>IF(AND(OR(LEFT(TH!L462,2)="15",LEFT(TH!M462,2)="15"),TK!$E$7=TH!F462),"x","")</f>
        <v/>
      </c>
      <c r="AA335" s="51" t="str">
        <f>IF(AND(B335&lt;=NKC!$N$8,B335&gt;=NKC!$M$8),"x","")</f>
        <v>x</v>
      </c>
      <c r="AB335" s="923"/>
      <c r="AD335" s="210"/>
      <c r="AE335" s="210"/>
    </row>
    <row r="336" spans="1:33" s="589" customFormat="1" ht="15.75" hidden="1" customHeight="1">
      <c r="A336" s="203" t="str">
        <f>IF(B336&lt;&gt;"",IF(AND(B336&gt;=_TM1,B336&lt;=_TM2,OR(TH!L336="1111",TH!M336="1111")),TH!D336,""),"")</f>
        <v/>
      </c>
      <c r="B336" s="36">
        <f t="shared" si="33"/>
        <v>9</v>
      </c>
      <c r="C336" s="183">
        <f t="shared" si="31"/>
        <v>42639</v>
      </c>
      <c r="D336" s="183" t="s">
        <v>763</v>
      </c>
      <c r="E336" s="190">
        <v>42639</v>
      </c>
      <c r="F336" s="188" t="s">
        <v>697</v>
      </c>
      <c r="G336" s="479" t="s">
        <v>696</v>
      </c>
      <c r="H336" s="7" t="s">
        <v>770</v>
      </c>
      <c r="I336" s="255">
        <v>109</v>
      </c>
      <c r="J336" s="255">
        <v>6400</v>
      </c>
      <c r="K336" s="37">
        <f t="shared" si="30"/>
        <v>697600</v>
      </c>
      <c r="L336" s="193" t="s">
        <v>259</v>
      </c>
      <c r="M336" s="598" t="s">
        <v>174</v>
      </c>
      <c r="N336" s="51" t="str">
        <f>IF(AND('331-CT'!$E$7=TH!H463,OR(L336="331",M336="331")),"331",IF(AND(OR(L336="131",M336="131"),H336='131-CT'!$E$7),"131",""))</f>
        <v/>
      </c>
      <c r="O336" s="891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/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IF(OR(TH!L463=TH!$W$7,M336=TH!$W$7),"x","")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IF(AND(OR(LEFT(TH!L463,2)="15",LEFT(TH!M463,2)="15"),'152-CT'!$J$8=TH!F463),"x","")</f>
        <v/>
      </c>
      <c r="Z336" s="51" t="str">
        <f>IF(AND(OR(LEFT(TH!L463,2)="15",LEFT(TH!M463,2)="15"),TK!$E$7=TH!F463),"x","")</f>
        <v/>
      </c>
      <c r="AA336" s="51" t="str">
        <f>IF(AND(B336&lt;=NKC!$N$8,B336&gt;=NKC!$M$8),"x","")</f>
        <v>x</v>
      </c>
      <c r="AB336" s="923"/>
      <c r="AE336" s="210"/>
    </row>
    <row r="337" spans="1:33" s="589" customFormat="1" ht="15.75" hidden="1" customHeight="1">
      <c r="A337" s="203" t="str">
        <f>IF(B337&lt;&gt;"",IF(AND(B337&gt;=_TM1,B337&lt;=_TM2,OR(TH!L337="1111",TH!M337="1111")),TH!D337,""),"")</f>
        <v/>
      </c>
      <c r="B337" s="36">
        <f t="shared" si="33"/>
        <v>9</v>
      </c>
      <c r="C337" s="183">
        <f t="shared" si="31"/>
        <v>42639</v>
      </c>
      <c r="D337" s="183" t="s">
        <v>763</v>
      </c>
      <c r="E337" s="190">
        <v>42639</v>
      </c>
      <c r="F337" s="188" t="s">
        <v>698</v>
      </c>
      <c r="G337" s="479" t="s">
        <v>696</v>
      </c>
      <c r="H337" s="7" t="s">
        <v>770</v>
      </c>
      <c r="I337" s="255">
        <v>102</v>
      </c>
      <c r="J337" s="255">
        <v>7300</v>
      </c>
      <c r="K337" s="37">
        <f t="shared" si="30"/>
        <v>744600</v>
      </c>
      <c r="L337" s="193" t="s">
        <v>259</v>
      </c>
      <c r="M337" s="598" t="s">
        <v>174</v>
      </c>
      <c r="N337" s="51" t="str">
        <f>IF(AND('331-CT'!$E$7=TH!H464,OR(L337="331",M337="331")),"331",IF(AND(OR(L337="131",M337="131"),H337='131-CT'!$E$7),"131",""))</f>
        <v/>
      </c>
      <c r="O337" s="891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/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IF(OR(TH!L464=TH!$W$7,M337=TH!$W$7),"x","")</f>
        <v/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IF(AND(OR(LEFT(TH!L464,2)="15",LEFT(TH!M464,2)="15"),'152-CT'!$J$8=TH!F464),"x","")</f>
        <v/>
      </c>
      <c r="Z337" s="51" t="str">
        <f>IF(AND(OR(LEFT(TH!L464,2)="15",LEFT(TH!M464,2)="15"),TK!$E$7=TH!F464),"x","")</f>
        <v/>
      </c>
      <c r="AA337" s="51" t="str">
        <f>IF(AND(B337&lt;=NKC!$N$8,B337&gt;=NKC!$M$8),"x","")</f>
        <v>x</v>
      </c>
      <c r="AB337" s="923"/>
      <c r="AE337" s="210"/>
    </row>
    <row r="338" spans="1:33" s="589" customFormat="1" ht="15.75" hidden="1" customHeight="1">
      <c r="A338" s="203" t="str">
        <f>IF(B338&lt;&gt;"",IF(AND(B338&gt;=_TM1,B338&lt;=_TM2,OR(TH!L338="1111",TH!M338="1111")),TH!D338,""),"")</f>
        <v/>
      </c>
      <c r="B338" s="36">
        <f t="shared" si="33"/>
        <v>9</v>
      </c>
      <c r="C338" s="183">
        <f t="shared" si="31"/>
        <v>42639</v>
      </c>
      <c r="D338" s="183" t="s">
        <v>763</v>
      </c>
      <c r="E338" s="190">
        <v>42639</v>
      </c>
      <c r="F338" s="188" t="s">
        <v>585</v>
      </c>
      <c r="G338" s="479" t="s">
        <v>696</v>
      </c>
      <c r="H338" s="7" t="s">
        <v>770</v>
      </c>
      <c r="I338" s="255">
        <v>56</v>
      </c>
      <c r="J338" s="255">
        <v>11250</v>
      </c>
      <c r="K338" s="37">
        <f t="shared" si="30"/>
        <v>630000</v>
      </c>
      <c r="L338" s="193" t="s">
        <v>259</v>
      </c>
      <c r="M338" s="598" t="s">
        <v>174</v>
      </c>
      <c r="N338" s="51" t="str">
        <f>IF(AND('331-CT'!$E$7=TH!H465,OR(L338="331",M338="331")),"331",IF(AND(OR(L338="131",M338="131"),H338='131-CT'!$E$7),"131",""))</f>
        <v/>
      </c>
      <c r="O338" s="891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/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IF(OR(TH!L465=TH!$W$7,M338=TH!$W$7),"x","")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IF(AND(OR(LEFT(TH!L465,2)="15",LEFT(TH!M465,2)="15"),'152-CT'!$J$8=TH!F465),"x","")</f>
        <v/>
      </c>
      <c r="Z338" s="51" t="str">
        <f>IF(AND(OR(LEFT(TH!L465,2)="15",LEFT(TH!M465,2)="15"),TK!$E$7=TH!F465),"x","")</f>
        <v/>
      </c>
      <c r="AA338" s="51" t="str">
        <f>IF(AND(B338&lt;=NKC!$N$8,B338&gt;=NKC!$M$8),"x","")</f>
        <v>x</v>
      </c>
      <c r="AB338" s="923"/>
      <c r="AE338" s="210"/>
    </row>
    <row r="339" spans="1:33" s="589" customFormat="1" ht="15.75" hidden="1" customHeight="1">
      <c r="A339" s="203" t="str">
        <f>IF(B339&lt;&gt;"",IF(AND(B339&gt;=_TM1,B339&lt;=_TM2,OR(TH!L339="1111",TH!M339="1111")),TH!D339,""),"")</f>
        <v/>
      </c>
      <c r="B339" s="36">
        <f t="shared" si="33"/>
        <v>9</v>
      </c>
      <c r="C339" s="183">
        <f t="shared" si="31"/>
        <v>42639</v>
      </c>
      <c r="D339" s="183" t="s">
        <v>763</v>
      </c>
      <c r="E339" s="190">
        <v>42639</v>
      </c>
      <c r="F339" s="188" t="s">
        <v>586</v>
      </c>
      <c r="G339" s="479" t="s">
        <v>696</v>
      </c>
      <c r="H339" s="7" t="s">
        <v>770</v>
      </c>
      <c r="I339" s="255"/>
      <c r="J339" s="255"/>
      <c r="K339" s="37">
        <v>207220</v>
      </c>
      <c r="L339" s="193" t="s">
        <v>259</v>
      </c>
      <c r="M339" s="598" t="s">
        <v>370</v>
      </c>
      <c r="N339" s="51" t="str">
        <f>IF(AND('331-CT'!$E$7=TH!H466,OR(L339="331",M339="331")),"331",IF(AND(OR(L339="131",M339="131"),H339='131-CT'!$E$7),"131",""))</f>
        <v/>
      </c>
      <c r="O339" s="891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/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IF(OR(TH!L466=TH!$W$7,M339=TH!$W$7),"x","")</f>
        <v/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IF(AND(OR(LEFT(TH!L466,2)="15",LEFT(TH!M466,2)="15"),'152-CT'!$J$8=TH!F466),"x","")</f>
        <v/>
      </c>
      <c r="Z339" s="51" t="str">
        <f>IF(AND(OR(LEFT(TH!L466,2)="15",LEFT(TH!M466,2)="15"),TK!$E$7=TH!F466),"x","")</f>
        <v/>
      </c>
      <c r="AA339" s="51" t="str">
        <f>IF(AND(B339&lt;=NKC!$N$8,B339&gt;=NKC!$M$8),"x","")</f>
        <v>x</v>
      </c>
      <c r="AB339" s="923"/>
      <c r="AE339" s="210"/>
    </row>
    <row r="340" spans="1:33" s="589" customFormat="1" ht="15.75" hidden="1" customHeight="1">
      <c r="A340" s="203" t="str">
        <f>IF(B340&lt;&gt;"",IF(AND(B340&gt;=_TM1,B340&lt;=_TM2,OR(TH!L340="1111",TH!M340="1111")),TH!D340,""),"")</f>
        <v/>
      </c>
      <c r="B340" s="36">
        <f t="shared" si="33"/>
        <v>9</v>
      </c>
      <c r="C340" s="183">
        <f t="shared" si="31"/>
        <v>42640</v>
      </c>
      <c r="D340" s="183" t="s">
        <v>764</v>
      </c>
      <c r="E340" s="190">
        <v>42640</v>
      </c>
      <c r="F340" s="188" t="s">
        <v>585</v>
      </c>
      <c r="G340" s="479" t="s">
        <v>699</v>
      </c>
      <c r="H340" s="7" t="s">
        <v>428</v>
      </c>
      <c r="I340" s="255">
        <f>202+152+51+51+77</f>
        <v>533</v>
      </c>
      <c r="J340" s="255">
        <v>9400</v>
      </c>
      <c r="K340" s="37">
        <f t="shared" ref="K340:K348" si="34">ROUND(I340*J340,0)</f>
        <v>5010200</v>
      </c>
      <c r="L340" s="193" t="s">
        <v>259</v>
      </c>
      <c r="M340" s="598" t="s">
        <v>174</v>
      </c>
      <c r="N340" s="51" t="str">
        <f>IF(AND('331-CT'!$E$7=TH!H467,OR(L340="331",M340="331")),"331",IF(AND(OR(L340="131",M340="131"),H340='131-CT'!$E$7),"131",""))</f>
        <v/>
      </c>
      <c r="O340" s="891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/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IF(OR(TH!L467=TH!$W$7,M340=TH!$W$7),"x","")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IF(AND(OR(LEFT(TH!L467,2)="15",LEFT(TH!M467,2)="15"),'152-CT'!$J$8=TH!F467),"x","")</f>
        <v/>
      </c>
      <c r="Z340" s="51" t="str">
        <f>IF(AND(OR(LEFT(TH!L467,2)="15",LEFT(TH!M467,2)="15"),TK!$E$7=TH!F467),"x","")</f>
        <v/>
      </c>
      <c r="AA340" s="51" t="str">
        <f>IF(AND(B340&lt;=NKC!$N$8,B340&gt;=NKC!$M$8),"x","")</f>
        <v>x</v>
      </c>
      <c r="AB340" s="923"/>
      <c r="AD340" s="210"/>
      <c r="AE340" s="210"/>
    </row>
    <row r="341" spans="1:33" s="589" customFormat="1" ht="15.75" hidden="1" customHeight="1">
      <c r="A341" s="203" t="str">
        <f>IF(B341&lt;&gt;"",IF(AND(B341&gt;=_TM1,B341&lt;=_TM2,OR(TH!L341="1111",TH!M341="1111")),TH!D341,""),"")</f>
        <v/>
      </c>
      <c r="B341" s="36">
        <f t="shared" si="33"/>
        <v>9</v>
      </c>
      <c r="C341" s="183">
        <f t="shared" si="31"/>
        <v>42640</v>
      </c>
      <c r="D341" s="183" t="s">
        <v>764</v>
      </c>
      <c r="E341" s="190">
        <v>42640</v>
      </c>
      <c r="F341" s="188" t="s">
        <v>586</v>
      </c>
      <c r="G341" s="479" t="s">
        <v>699</v>
      </c>
      <c r="H341" s="7" t="s">
        <v>428</v>
      </c>
      <c r="I341" s="255"/>
      <c r="J341" s="255"/>
      <c r="K341" s="37">
        <v>501020</v>
      </c>
      <c r="L341" s="193" t="s">
        <v>259</v>
      </c>
      <c r="M341" s="598" t="s">
        <v>370</v>
      </c>
      <c r="N341" s="51" t="str">
        <f>IF(AND('331-CT'!$E$7=TH!H468,OR(L341="331",M341="331")),"331",IF(AND(OR(L341="131",M341="131"),H341='131-CT'!$E$7),"131",""))</f>
        <v/>
      </c>
      <c r="O341" s="891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/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IF(OR(TH!L468=TH!$W$7,M341=TH!$W$7),"x","")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IF(AND(OR(LEFT(TH!L468,2)="15",LEFT(TH!M468,2)="15"),'152-CT'!$J$8=TH!F468),"x","")</f>
        <v/>
      </c>
      <c r="Z341" s="51" t="str">
        <f>IF(AND(OR(LEFT(TH!L468,2)="15",LEFT(TH!M468,2)="15"),TK!$E$7=TH!F468),"x","")</f>
        <v/>
      </c>
      <c r="AA341" s="51" t="str">
        <f>IF(AND(B341&lt;=NKC!$N$8,B341&gt;=NKC!$M$8),"x","")</f>
        <v>x</v>
      </c>
      <c r="AB341" s="923"/>
      <c r="AE341" s="210"/>
    </row>
    <row r="342" spans="1:33" s="210" customFormat="1" ht="15.75" hidden="1" customHeight="1">
      <c r="A342" s="203" t="str">
        <f>IF(B342&lt;&gt;"",IF(AND(B342&gt;=_TM1,B342&lt;=_TM2,OR(TH!L342="1111",TH!M342="1111")),TH!D342,""),"")</f>
        <v/>
      </c>
      <c r="B342" s="36">
        <f t="shared" si="33"/>
        <v>9</v>
      </c>
      <c r="C342" s="183">
        <f t="shared" si="31"/>
        <v>42640</v>
      </c>
      <c r="D342" s="183" t="s">
        <v>765</v>
      </c>
      <c r="E342" s="190">
        <v>42640</v>
      </c>
      <c r="F342" s="188" t="s">
        <v>585</v>
      </c>
      <c r="G342" s="479" t="s">
        <v>700</v>
      </c>
      <c r="H342" s="7" t="s">
        <v>428</v>
      </c>
      <c r="I342" s="255">
        <f>51+105</f>
        <v>156</v>
      </c>
      <c r="J342" s="255">
        <v>9400</v>
      </c>
      <c r="K342" s="37">
        <f t="shared" si="34"/>
        <v>1466400</v>
      </c>
      <c r="L342" s="193" t="s">
        <v>259</v>
      </c>
      <c r="M342" s="598" t="s">
        <v>174</v>
      </c>
      <c r="N342" s="51" t="str">
        <f>IF(AND('331-CT'!$E$7=TH!H469,OR(L342="331",M342="331")),"331",IF(AND(OR(L342="131",M342="131"),H342='131-CT'!$E$7),"131",""))</f>
        <v/>
      </c>
      <c r="O342" s="891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/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IF(OR(TH!L469=TH!$W$7,M342=TH!$W$7),"x","")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IF(AND(OR(LEFT(TH!L469,2)="15",LEFT(TH!M469,2)="15"),'152-CT'!$J$8=TH!F469),"x","")</f>
        <v/>
      </c>
      <c r="Z342" s="51" t="str">
        <f>IF(AND(OR(LEFT(TH!L469,2)="15",LEFT(TH!M469,2)="15"),TK!$E$7=TH!F469),"x","")</f>
        <v/>
      </c>
      <c r="AA342" s="51" t="str">
        <f>IF(AND(B342&lt;=NKC!$N$8,B342&gt;=NKC!$M$8),"x","")</f>
        <v>x</v>
      </c>
      <c r="AB342" s="923"/>
      <c r="AC342" s="589"/>
      <c r="AD342" s="589"/>
      <c r="AF342" s="589"/>
      <c r="AG342" s="589"/>
    </row>
    <row r="343" spans="1:33" s="210" customFormat="1" ht="15.75" hidden="1" customHeight="1">
      <c r="A343" s="203" t="str">
        <f>IF(B343&lt;&gt;"",IF(AND(B343&gt;=_TM1,B343&lt;=_TM2,OR(TH!L343="1111",TH!M343="1111")),TH!D343,""),"")</f>
        <v/>
      </c>
      <c r="B343" s="36">
        <f t="shared" si="33"/>
        <v>9</v>
      </c>
      <c r="C343" s="183">
        <f t="shared" si="31"/>
        <v>42640</v>
      </c>
      <c r="D343" s="183" t="s">
        <v>765</v>
      </c>
      <c r="E343" s="190">
        <v>42640</v>
      </c>
      <c r="F343" s="188" t="s">
        <v>585</v>
      </c>
      <c r="G343" s="479" t="s">
        <v>700</v>
      </c>
      <c r="H343" s="7" t="s">
        <v>428</v>
      </c>
      <c r="I343" s="255">
        <f>840+840+840</f>
        <v>2520</v>
      </c>
      <c r="J343" s="255">
        <v>7900</v>
      </c>
      <c r="K343" s="37">
        <f t="shared" si="34"/>
        <v>19908000</v>
      </c>
      <c r="L343" s="193" t="s">
        <v>259</v>
      </c>
      <c r="M343" s="598" t="s">
        <v>174</v>
      </c>
      <c r="N343" s="51" t="str">
        <f>IF(AND('331-CT'!$E$7=TH!H470,OR(L343="331",M343="331")),"331",IF(AND(OR(L343="131",M343="131"),H343='131-CT'!$E$7),"131",""))</f>
        <v/>
      </c>
      <c r="O343" s="891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IF(OR(TH!L470=TH!$W$7,M343=TH!$W$7),"x","")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IF(AND(OR(LEFT(TH!L470,2)="15",LEFT(TH!M470,2)="15"),'152-CT'!$J$8=TH!F470),"x","")</f>
        <v/>
      </c>
      <c r="Z343" s="51" t="str">
        <f>IF(AND(OR(LEFT(TH!L470,2)="15",LEFT(TH!M470,2)="15"),TK!$E$7=TH!F470),"x","")</f>
        <v/>
      </c>
      <c r="AA343" s="51" t="str">
        <f>IF(AND(B343&lt;=NKC!$N$8,B343&gt;=NKC!$M$8),"x","")</f>
        <v>x</v>
      </c>
      <c r="AB343" s="923"/>
      <c r="AC343" s="589"/>
      <c r="AD343" s="589"/>
      <c r="AF343" s="589"/>
      <c r="AG343" s="589"/>
    </row>
    <row r="344" spans="1:33" s="589" customFormat="1" ht="15.75" hidden="1" customHeight="1">
      <c r="A344" s="203" t="str">
        <f>IF(B344&lt;&gt;"",IF(AND(B344&gt;=_TM1,B344&lt;=_TM2,OR(TH!L344="1111",TH!M344="1111")),TH!D344,""),"")</f>
        <v/>
      </c>
      <c r="B344" s="36">
        <f t="shared" si="33"/>
        <v>9</v>
      </c>
      <c r="C344" s="183">
        <f t="shared" si="31"/>
        <v>42640</v>
      </c>
      <c r="D344" s="183" t="s">
        <v>765</v>
      </c>
      <c r="E344" s="190">
        <v>42640</v>
      </c>
      <c r="F344" s="188" t="s">
        <v>585</v>
      </c>
      <c r="G344" s="479" t="s">
        <v>700</v>
      </c>
      <c r="H344" s="7" t="s">
        <v>428</v>
      </c>
      <c r="I344" s="255">
        <v>44</v>
      </c>
      <c r="J344" s="255">
        <v>17600</v>
      </c>
      <c r="K344" s="37">
        <f t="shared" si="34"/>
        <v>774400</v>
      </c>
      <c r="L344" s="193" t="s">
        <v>259</v>
      </c>
      <c r="M344" s="598" t="s">
        <v>174</v>
      </c>
      <c r="N344" s="51" t="str">
        <f>IF(AND('331-CT'!$E$7=TH!H471,OR(L344="331",M344="331")),"331",IF(AND(OR(L344="131",M344="131"),H344='131-CT'!$E$7),"131",""))</f>
        <v/>
      </c>
      <c r="O344" s="891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IF(OR(TH!L471=TH!$W$7,M344=TH!$W$7),"x","")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IF(AND(OR(LEFT(TH!L471,2)="15",LEFT(TH!M471,2)="15"),'152-CT'!$J$8=TH!F471),"x","")</f>
        <v/>
      </c>
      <c r="Z344" s="51" t="str">
        <f>IF(AND(OR(LEFT(TH!L471,2)="15",LEFT(TH!M471,2)="15"),TK!$E$7=TH!F471),"x","")</f>
        <v/>
      </c>
      <c r="AA344" s="51" t="str">
        <f>IF(AND(B344&lt;=NKC!$N$8,B344&gt;=NKC!$M$8),"x","")</f>
        <v>x</v>
      </c>
      <c r="AB344" s="923"/>
      <c r="AE344" s="210"/>
    </row>
    <row r="345" spans="1:33" s="589" customFormat="1" ht="15.75" hidden="1" customHeight="1">
      <c r="A345" s="203" t="str">
        <f>IF(B345&lt;&gt;"",IF(AND(B345&gt;=_TM1,B345&lt;=_TM2,OR(TH!L345="1111",TH!M345="1111")),TH!D345,""),"")</f>
        <v/>
      </c>
      <c r="B345" s="36">
        <f t="shared" si="33"/>
        <v>9</v>
      </c>
      <c r="C345" s="183">
        <f t="shared" si="31"/>
        <v>42640</v>
      </c>
      <c r="D345" s="183" t="s">
        <v>765</v>
      </c>
      <c r="E345" s="190">
        <v>42640</v>
      </c>
      <c r="F345" s="188" t="s">
        <v>586</v>
      </c>
      <c r="G345" s="479" t="s">
        <v>700</v>
      </c>
      <c r="H345" s="7" t="s">
        <v>428</v>
      </c>
      <c r="I345" s="255"/>
      <c r="J345" s="255"/>
      <c r="K345" s="37">
        <v>2214880</v>
      </c>
      <c r="L345" s="193" t="s">
        <v>259</v>
      </c>
      <c r="M345" s="598" t="s">
        <v>370</v>
      </c>
      <c r="N345" s="51" t="str">
        <f>IF(AND('331-CT'!$E$7=TH!H472,OR(L345="331",M345="331")),"331",IF(AND(OR(L345="131",M345="131"),H345='131-CT'!$E$7),"131",""))</f>
        <v/>
      </c>
      <c r="O345" s="891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IF(OR(TH!L472=TH!$W$7,M345=TH!$W$7),"x","")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IF(AND(OR(LEFT(TH!L472,2)="15",LEFT(TH!M472,2)="15"),'152-CT'!$J$8=TH!F472),"x","")</f>
        <v/>
      </c>
      <c r="Z345" s="51" t="str">
        <f>IF(AND(OR(LEFT(TH!L472,2)="15",LEFT(TH!M472,2)="15"),TK!$E$7=TH!F472),"x","")</f>
        <v/>
      </c>
      <c r="AA345" s="51" t="str">
        <f>IF(AND(B345&lt;=NKC!$N$8,B345&gt;=NKC!$M$8),"x","")</f>
        <v>x</v>
      </c>
      <c r="AB345" s="923"/>
      <c r="AE345" s="210"/>
    </row>
    <row r="346" spans="1:33" s="589" customFormat="1" ht="15.75" hidden="1" customHeight="1">
      <c r="A346" s="203" t="str">
        <f>IF(B346&lt;&gt;"",IF(AND(B346&gt;=_TM1,B346&lt;=_TM2,OR(TH!L346="1111",TH!M346="1111")),TH!D346,""),"")</f>
        <v/>
      </c>
      <c r="B346" s="36">
        <f t="shared" si="33"/>
        <v>9</v>
      </c>
      <c r="C346" s="183">
        <f t="shared" si="31"/>
        <v>42640</v>
      </c>
      <c r="D346" s="183" t="s">
        <v>766</v>
      </c>
      <c r="E346" s="190">
        <v>42640</v>
      </c>
      <c r="F346" s="188" t="s">
        <v>650</v>
      </c>
      <c r="G346" s="479" t="s">
        <v>702</v>
      </c>
      <c r="H346" s="7" t="s">
        <v>701</v>
      </c>
      <c r="I346" s="255">
        <f>204+65+40</f>
        <v>309</v>
      </c>
      <c r="J346" s="255">
        <v>10200</v>
      </c>
      <c r="K346" s="37">
        <f t="shared" si="34"/>
        <v>3151800</v>
      </c>
      <c r="L346" s="193" t="s">
        <v>259</v>
      </c>
      <c r="M346" s="598" t="s">
        <v>174</v>
      </c>
      <c r="N346" s="51" t="str">
        <f>IF(AND('331-CT'!$E$7=TH!H473,OR(L346="331",M346="331")),"331",IF(AND(OR(L346="131",M346="131"),H346='131-CT'!$E$7),"131",""))</f>
        <v/>
      </c>
      <c r="O346" s="891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IF(OR(TH!L473=TH!$W$7,M346=TH!$W$7),"x","")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IF(AND(OR(LEFT(TH!L473,2)="15",LEFT(TH!M473,2)="15"),'152-CT'!$J$8=TH!F473),"x","")</f>
        <v/>
      </c>
      <c r="Z346" s="51" t="str">
        <f>IF(AND(OR(LEFT(TH!L473,2)="15",LEFT(TH!M473,2)="15"),TK!$E$7=TH!F473),"x","")</f>
        <v/>
      </c>
      <c r="AA346" s="51" t="str">
        <f>IF(AND(B346&lt;=NKC!$N$8,B346&gt;=NKC!$M$8),"x","")</f>
        <v>x</v>
      </c>
      <c r="AB346" s="923"/>
      <c r="AD346" s="210"/>
      <c r="AE346" s="210"/>
    </row>
    <row r="347" spans="1:33" s="589" customFormat="1" ht="15.75" hidden="1" customHeight="1">
      <c r="A347" s="203" t="str">
        <f>IF(B347&lt;&gt;"",IF(AND(B347&gt;=_TM1,B347&lt;=_TM2,OR(TH!L347="1111",TH!M347="1111")),TH!D347,""),"")</f>
        <v/>
      </c>
      <c r="B347" s="36">
        <f t="shared" si="33"/>
        <v>9</v>
      </c>
      <c r="C347" s="183">
        <f t="shared" si="31"/>
        <v>42640</v>
      </c>
      <c r="D347" s="183" t="s">
        <v>766</v>
      </c>
      <c r="E347" s="190">
        <v>42640</v>
      </c>
      <c r="F347" s="188" t="s">
        <v>680</v>
      </c>
      <c r="G347" s="479" t="s">
        <v>702</v>
      </c>
      <c r="H347" s="7" t="s">
        <v>701</v>
      </c>
      <c r="I347" s="255"/>
      <c r="J347" s="255"/>
      <c r="K347" s="37">
        <v>315180</v>
      </c>
      <c r="L347" s="193" t="s">
        <v>259</v>
      </c>
      <c r="M347" s="598" t="s">
        <v>370</v>
      </c>
      <c r="N347" s="51" t="str">
        <f>IF(AND('331-CT'!$E$7=TH!H474,OR(L347="331",M347="331")),"331",IF(AND(OR(L347="131",M347="131"),H347='131-CT'!$E$7),"131",""))</f>
        <v/>
      </c>
      <c r="O347" s="891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IF(OR(TH!L474=TH!$W$7,M347=TH!$W$7),"x","")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IF(AND(OR(LEFT(TH!L474,2)="15",LEFT(TH!M474,2)="15"),'152-CT'!$J$8=TH!F474),"x","")</f>
        <v/>
      </c>
      <c r="Z347" s="51" t="str">
        <f>IF(AND(OR(LEFT(TH!L474,2)="15",LEFT(TH!M474,2)="15"),TK!$E$7=TH!F474),"x","")</f>
        <v/>
      </c>
      <c r="AA347" s="51" t="str">
        <f>IF(AND(B347&lt;=NKC!$N$8,B347&gt;=NKC!$M$8),"x","")</f>
        <v>x</v>
      </c>
      <c r="AB347" s="923"/>
      <c r="AE347" s="210"/>
      <c r="AF347" s="210"/>
      <c r="AG347" s="210"/>
    </row>
    <row r="348" spans="1:33" s="589" customFormat="1" ht="15.75" hidden="1" customHeight="1">
      <c r="A348" s="203" t="str">
        <f>IF(B348&lt;&gt;"",IF(AND(B348&gt;=_TM1,B348&lt;=_TM2,OR(TH!L348="1111",TH!M348="1111")),TH!D348,""),"")</f>
        <v/>
      </c>
      <c r="B348" s="36">
        <f t="shared" si="33"/>
        <v>9</v>
      </c>
      <c r="C348" s="183">
        <f t="shared" si="31"/>
        <v>42641</v>
      </c>
      <c r="D348" s="183" t="s">
        <v>767</v>
      </c>
      <c r="E348" s="190">
        <v>42641</v>
      </c>
      <c r="F348" s="188" t="s">
        <v>609</v>
      </c>
      <c r="G348" s="479" t="s">
        <v>703</v>
      </c>
      <c r="H348" s="7" t="s">
        <v>770</v>
      </c>
      <c r="I348" s="255">
        <v>211</v>
      </c>
      <c r="J348" s="255">
        <v>12900</v>
      </c>
      <c r="K348" s="37">
        <f t="shared" si="34"/>
        <v>2721900</v>
      </c>
      <c r="L348" s="193" t="s">
        <v>259</v>
      </c>
      <c r="M348" s="598" t="s">
        <v>174</v>
      </c>
      <c r="N348" s="51" t="str">
        <f>IF(AND('331-CT'!$E$7=TH!H475,OR(L348="331",M348="331")),"331",IF(AND(OR(L348="131",M348="131"),H348='131-CT'!$E$7),"131",""))</f>
        <v/>
      </c>
      <c r="O348" s="891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IF(OR(TH!L475=TH!$W$7,M348=TH!$W$7),"x","")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IF(AND(OR(LEFT(TH!L475,2)="15",LEFT(TH!M475,2)="15"),'152-CT'!$J$8=TH!F475),"x","")</f>
        <v/>
      </c>
      <c r="Z348" s="51" t="str">
        <f>IF(AND(OR(LEFT(TH!L475,2)="15",LEFT(TH!M475,2)="15"),TK!$E$7=TH!F475),"x","")</f>
        <v/>
      </c>
      <c r="AA348" s="51" t="str">
        <f>IF(AND(B348&lt;=NKC!$N$8,B348&gt;=NKC!$M$8),"x","")</f>
        <v>x</v>
      </c>
      <c r="AB348" s="923"/>
      <c r="AD348" s="210"/>
      <c r="AE348" s="210"/>
      <c r="AF348" s="210"/>
      <c r="AG348" s="210"/>
    </row>
    <row r="349" spans="1:33" s="210" customFormat="1" ht="15.75" hidden="1" customHeight="1">
      <c r="A349" s="203" t="str">
        <f>IF(B349&lt;&gt;"",IF(AND(B349&gt;=_TM1,B349&lt;=_TM2,OR(TH!L349="1111",TH!M349="1111")),TH!D349,""),"")</f>
        <v/>
      </c>
      <c r="B349" s="36">
        <f t="shared" si="33"/>
        <v>9</v>
      </c>
      <c r="C349" s="183">
        <f t="shared" si="31"/>
        <v>42641</v>
      </c>
      <c r="D349" s="183" t="s">
        <v>767</v>
      </c>
      <c r="E349" s="190">
        <v>42641</v>
      </c>
      <c r="F349" s="188" t="s">
        <v>586</v>
      </c>
      <c r="G349" s="479" t="s">
        <v>703</v>
      </c>
      <c r="H349" s="7" t="s">
        <v>770</v>
      </c>
      <c r="I349" s="255"/>
      <c r="J349" s="255"/>
      <c r="K349" s="37">
        <v>272190</v>
      </c>
      <c r="L349" s="193" t="s">
        <v>259</v>
      </c>
      <c r="M349" s="598" t="s">
        <v>370</v>
      </c>
      <c r="N349" s="51" t="str">
        <f>IF(AND('331-CT'!$E$7=TH!H476,OR(L349="331",M349="331")),"331",IF(AND(OR(L349="131",M349="131"),H349='131-CT'!$E$7),"131",""))</f>
        <v/>
      </c>
      <c r="O349" s="891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IF(OR(TH!L476=TH!$W$7,M349=TH!$W$7),"x","")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IF(AND(OR(LEFT(TH!L476,2)="15",LEFT(TH!M476,2)="15"),'152-CT'!$J$8=TH!F476),"x","")</f>
        <v/>
      </c>
      <c r="Z349" s="51" t="str">
        <f>IF(AND(OR(LEFT(TH!L476,2)="15",LEFT(TH!M476,2)="15"),TK!$E$7=TH!F476),"x","")</f>
        <v/>
      </c>
      <c r="AA349" s="51" t="str">
        <f>IF(AND(B349&lt;=NKC!$N$8,B349&gt;=NKC!$M$8),"x","")</f>
        <v>x</v>
      </c>
      <c r="AB349" s="923"/>
      <c r="AC349" s="589"/>
      <c r="AD349" s="589"/>
      <c r="AF349" s="589"/>
      <c r="AG349" s="589"/>
    </row>
    <row r="350" spans="1:33" s="210" customFormat="1" ht="15.75" hidden="1" customHeight="1">
      <c r="A350" s="203" t="str">
        <f>IF(B350&lt;&gt;"",IF(AND(B350&gt;=_TM1,B350&lt;=_TM2,OR(TH!L350="1111",TH!M350="1111")),TH!D350,""),"")</f>
        <v/>
      </c>
      <c r="B350" s="36">
        <f t="shared" si="33"/>
        <v>1</v>
      </c>
      <c r="C350" s="183">
        <f t="shared" si="31"/>
        <v>0</v>
      </c>
      <c r="D350" s="190"/>
      <c r="E350" s="190"/>
      <c r="F350" s="188"/>
      <c r="G350" s="479"/>
      <c r="H350" s="7"/>
      <c r="I350" s="255"/>
      <c r="J350" s="255"/>
      <c r="K350" s="37"/>
      <c r="L350" s="193"/>
      <c r="M350" s="598"/>
      <c r="N350" s="51" t="str">
        <f>IF(AND('331-CT'!$E$7=TH!H477,OR(L350="331",M350="331")),"331",IF(AND(OR(L350="131",M350="131"),H350='131-CT'!$E$7),"131",""))</f>
        <v/>
      </c>
      <c r="O350" s="891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IF(OR(TH!L477=TH!$W$7,M350=TH!$W$7),"x","")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IF(AND(OR(LEFT(TH!L477,2)="15",LEFT(TH!M477,2)="15"),'152-CT'!$J$8=TH!F477),"x","")</f>
        <v/>
      </c>
      <c r="Z350" s="51" t="str">
        <f>IF(AND(OR(LEFT(TH!L477,2)="15",LEFT(TH!M477,2)="15"),TK!$E$7=TH!F477),"x","")</f>
        <v/>
      </c>
      <c r="AA350" s="51" t="str">
        <f>IF(AND(B350&lt;=NKC!$N$8,B350&gt;=NKC!$M$8),"x","")</f>
        <v/>
      </c>
      <c r="AB350" s="923"/>
      <c r="AC350" s="589"/>
      <c r="AF350" s="589"/>
      <c r="AG350" s="589"/>
    </row>
    <row r="351" spans="1:33" s="210" customFormat="1" ht="15.75" hidden="1" customHeight="1">
      <c r="A351" s="203" t="str">
        <f>IF(B351&lt;&gt;"",IF(AND(B351&gt;=_TM1,B351&lt;=_TM2,OR(TH!L351="1111",TH!M351="1111")),TH!D351,""),"")</f>
        <v/>
      </c>
      <c r="B351" s="36">
        <f t="shared" si="33"/>
        <v>1</v>
      </c>
      <c r="C351" s="183">
        <f t="shared" si="31"/>
        <v>0</v>
      </c>
      <c r="D351" s="190"/>
      <c r="E351" s="190"/>
      <c r="F351" s="188"/>
      <c r="G351" s="479"/>
      <c r="H351" s="7"/>
      <c r="I351" s="255"/>
      <c r="J351" s="255"/>
      <c r="K351" s="37"/>
      <c r="L351" s="193"/>
      <c r="M351" s="598"/>
      <c r="N351" s="51" t="str">
        <f>IF(AND('331-CT'!$E$7=TH!H478,OR(L351="331",M351="331")),"331",IF(AND(OR(L351="131",M351="131"),H351='131-CT'!$E$7),"131",""))</f>
        <v/>
      </c>
      <c r="O351" s="891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/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IF(OR(TH!L478=TH!$W$7,M351=TH!$W$7),"x","")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IF(AND(OR(LEFT(TH!L478,2)="15",LEFT(TH!M478,2)="15"),'152-CT'!$J$8=TH!F478),"x","")</f>
        <v/>
      </c>
      <c r="Z351" s="51" t="str">
        <f>IF(AND(OR(LEFT(TH!L478,2)="15",LEFT(TH!M478,2)="15"),TK!$E$7=TH!F478),"x","")</f>
        <v/>
      </c>
      <c r="AA351" s="51" t="str">
        <f>IF(AND(B351&lt;=NKC!$N$8,B351&gt;=NKC!$M$8),"x","")</f>
        <v/>
      </c>
      <c r="AB351" s="923"/>
      <c r="AC351" s="589"/>
      <c r="AD351" s="589"/>
      <c r="AF351" s="589"/>
      <c r="AG351" s="589"/>
    </row>
    <row r="352" spans="1:33" s="210" customFormat="1" ht="15.75" hidden="1" customHeight="1">
      <c r="A352" s="203" t="str">
        <f>IF(B352&lt;&gt;"",IF(AND(B352&gt;=_TM1,B352&lt;=_TM2,OR(TH!L352="1111",TH!M352="1111")),TH!D352,""),"")</f>
        <v/>
      </c>
      <c r="B352" s="36">
        <f t="shared" si="33"/>
        <v>1</v>
      </c>
      <c r="C352" s="183">
        <f t="shared" si="31"/>
        <v>0</v>
      </c>
      <c r="D352" s="190"/>
      <c r="E352" s="190"/>
      <c r="F352" s="188"/>
      <c r="G352" s="481"/>
      <c r="H352" s="782"/>
      <c r="I352" s="255"/>
      <c r="J352" s="255"/>
      <c r="K352" s="37"/>
      <c r="L352" s="193"/>
      <c r="M352" s="598"/>
      <c r="N352" s="51" t="str">
        <f>IF(AND('331-CT'!$E$7=TH!H479,OR(L352="331",M352="331")),"331",IF(AND(OR(L352="131",M352="131"),H352='131-CT'!$E$7),"131",""))</f>
        <v/>
      </c>
      <c r="O352" s="891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IF(OR(TH!L479=TH!$W$7,M352=TH!$W$7),"x","")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IF(AND(OR(LEFT(TH!L479,2)="15",LEFT(TH!M479,2)="15"),'152-CT'!$J$8=TH!F479),"x","")</f>
        <v/>
      </c>
      <c r="Z352" s="51" t="str">
        <f>IF(AND(OR(LEFT(TH!L479,2)="15",LEFT(TH!M479,2)="15"),TK!$E$7=TH!F479),"x","")</f>
        <v/>
      </c>
      <c r="AA352" s="51" t="str">
        <f>IF(AND(B352&lt;=NKC!$N$8,B352&gt;=NKC!$M$8),"x","")</f>
        <v/>
      </c>
      <c r="AB352" s="923"/>
      <c r="AC352" s="589"/>
      <c r="AF352" s="589"/>
      <c r="AG352" s="589"/>
    </row>
    <row r="353" spans="1:33" s="589" customFormat="1" ht="15.75" hidden="1" customHeight="1">
      <c r="A353" s="203" t="str">
        <f>IF(B353&lt;&gt;"",IF(AND(B353&gt;=_TM1,B353&lt;=_TM2,OR(TH!L353="1111",TH!M353="1111")),TH!D353,""),"")</f>
        <v/>
      </c>
      <c r="B353" s="36">
        <f t="shared" si="33"/>
        <v>1</v>
      </c>
      <c r="C353" s="183">
        <f t="shared" si="31"/>
        <v>0</v>
      </c>
      <c r="D353" s="190"/>
      <c r="E353" s="190"/>
      <c r="F353" s="188"/>
      <c r="G353" s="481"/>
      <c r="H353" s="782"/>
      <c r="I353" s="255"/>
      <c r="J353" s="255"/>
      <c r="K353" s="37"/>
      <c r="L353" s="193"/>
      <c r="M353" s="598"/>
      <c r="N353" s="51" t="str">
        <f>IF(AND('331-CT'!$E$7=TH!H480,OR(L353="331",M353="331")),"331",IF(AND(OR(L353="131",M353="131"),H353='131-CT'!$E$7),"131",""))</f>
        <v/>
      </c>
      <c r="O353" s="891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IF(OR(TH!L480=TH!$W$7,M353=TH!$W$7),"x","")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IF(AND(OR(LEFT(TH!L480,2)="15",LEFT(TH!M480,2)="15"),'152-CT'!$J$8=TH!F480),"x","")</f>
        <v/>
      </c>
      <c r="Z353" s="51" t="str">
        <f>IF(AND(OR(LEFT(TH!L480,2)="15",LEFT(TH!M480,2)="15"),TK!$E$7=TH!F480),"x","")</f>
        <v/>
      </c>
      <c r="AA353" s="51" t="str">
        <f>IF(AND(B353&lt;=NKC!$N$8,B353&gt;=NKC!$M$8),"x","")</f>
        <v/>
      </c>
      <c r="AB353" s="923"/>
      <c r="AE353" s="210"/>
    </row>
    <row r="354" spans="1:33" s="589" customFormat="1" ht="15.75" hidden="1" customHeight="1">
      <c r="A354" s="203" t="str">
        <f>IF(B354&lt;&gt;"",IF(AND(B354&gt;=_TM1,B354&lt;=_TM2,OR(TH!L354="1111",TH!M354="1111")),TH!D354,""),"")</f>
        <v/>
      </c>
      <c r="B354" s="36">
        <f t="shared" si="33"/>
        <v>1</v>
      </c>
      <c r="C354" s="183">
        <f t="shared" si="31"/>
        <v>0</v>
      </c>
      <c r="D354" s="190"/>
      <c r="E354" s="190"/>
      <c r="F354" s="188"/>
      <c r="G354" s="191"/>
      <c r="H354" s="782"/>
      <c r="I354" s="256"/>
      <c r="J354" s="255"/>
      <c r="K354" s="37"/>
      <c r="L354" s="193"/>
      <c r="M354" s="598"/>
      <c r="N354" s="51" t="str">
        <f>IF(AND('331-CT'!$E$7=TH!H481,OR(L354="331",M354="331")),"331",IF(AND(OR(L354="131",M354="131"),H354='131-CT'!$E$7),"131",""))</f>
        <v/>
      </c>
      <c r="O354" s="891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/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IF(OR(TH!L481=TH!$W$7,M354=TH!$W$7),"x","")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IF(AND(OR(LEFT(TH!L481,2)="15",LEFT(TH!M481,2)="15"),'152-CT'!$J$8=TH!F481),"x","")</f>
        <v/>
      </c>
      <c r="Z354" s="51" t="str">
        <f>IF(AND(OR(LEFT(TH!L481,2)="15",LEFT(TH!M481,2)="15"),TK!$E$7=TH!F481),"x","")</f>
        <v/>
      </c>
      <c r="AA354" s="51" t="str">
        <f>IF(AND(B354&lt;=NKC!$N$8,B354&gt;=NKC!$M$8),"x","")</f>
        <v/>
      </c>
      <c r="AB354" s="923"/>
      <c r="AE354" s="210"/>
      <c r="AF354" s="210"/>
      <c r="AG354" s="210"/>
    </row>
    <row r="355" spans="1:33" s="589" customFormat="1" ht="15.75" hidden="1" customHeight="1">
      <c r="A355" s="203" t="str">
        <f>IF(B355&lt;&gt;"",IF(AND(B355&gt;=_TM1,B355&lt;=_TM2,OR(TH!L355="1111",TH!M355="1111")),TH!D355,""),"")</f>
        <v/>
      </c>
      <c r="B355" s="36">
        <f t="shared" si="33"/>
        <v>1</v>
      </c>
      <c r="C355" s="183">
        <f t="shared" ref="C355:C418" si="35">E355</f>
        <v>0</v>
      </c>
      <c r="D355" s="190"/>
      <c r="E355" s="190"/>
      <c r="F355" s="188"/>
      <c r="G355" s="481"/>
      <c r="H355" s="782"/>
      <c r="I355" s="256"/>
      <c r="J355" s="256"/>
      <c r="K355" s="37"/>
      <c r="L355" s="193"/>
      <c r="M355" s="598"/>
      <c r="N355" s="51" t="str">
        <f>IF(AND('331-CT'!$E$7=TH!H482,OR(L355="331",M355="331")),"331",IF(AND(OR(L355="131",M355="131"),H355='131-CT'!$E$7),"131",""))</f>
        <v/>
      </c>
      <c r="O355" s="891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/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IF(OR(TH!L482=TH!$W$7,M355=TH!$W$7),"x","")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IF(AND(OR(LEFT(TH!L482,2)="15",LEFT(TH!M482,2)="15"),'152-CT'!$J$8=TH!F482),"x","")</f>
        <v/>
      </c>
      <c r="Z355" s="51" t="str">
        <f>IF(AND(OR(LEFT(TH!L482,2)="15",LEFT(TH!M482,2)="15"),TK!$E$7=TH!F482),"x","")</f>
        <v/>
      </c>
      <c r="AA355" s="51" t="str">
        <f>IF(AND(B355&lt;=NKC!$N$8,B355&gt;=NKC!$M$8),"x","")</f>
        <v/>
      </c>
      <c r="AB355" s="923"/>
      <c r="AE355" s="210"/>
      <c r="AF355" s="210"/>
      <c r="AG355" s="210"/>
    </row>
    <row r="356" spans="1:33" s="589" customFormat="1" ht="15.75" hidden="1" customHeight="1">
      <c r="A356" s="203" t="str">
        <f>IF(B356&lt;&gt;"",IF(AND(B356&gt;=_TM1,B356&lt;=_TM2,OR(TH!L356="1111",TH!M356="1111")),TH!D356,""),"")</f>
        <v/>
      </c>
      <c r="B356" s="36">
        <f t="shared" si="33"/>
        <v>1</v>
      </c>
      <c r="C356" s="183">
        <f t="shared" si="35"/>
        <v>0</v>
      </c>
      <c r="D356" s="190"/>
      <c r="E356" s="190"/>
      <c r="F356" s="188"/>
      <c r="G356" s="481"/>
      <c r="H356" s="209"/>
      <c r="I356" s="256"/>
      <c r="J356" s="256"/>
      <c r="K356" s="37"/>
      <c r="L356" s="193"/>
      <c r="M356" s="598"/>
      <c r="N356" s="51" t="str">
        <f>IF(AND('331-CT'!$E$7=TH!H483,OR(L356="331",M356="331")),"331",IF(AND(OR(L356="131",M356="131"),H356='131-CT'!$E$7),"131",""))</f>
        <v/>
      </c>
      <c r="O356" s="891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IF(OR(TH!L483=TH!$W$7,M356=TH!$W$7),"x","")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IF(AND(OR(LEFT(TH!L483,2)="15",LEFT(TH!M483,2)="15"),'152-CT'!$J$8=TH!F483),"x","")</f>
        <v/>
      </c>
      <c r="Z356" s="51" t="str">
        <f>IF(AND(OR(LEFT(TH!L483,2)="15",LEFT(TH!M483,2)="15"),TK!$E$7=TH!F483),"x","")</f>
        <v/>
      </c>
      <c r="AA356" s="51" t="str">
        <f>IF(AND(B356&lt;=NKC!$N$8,B356&gt;=NKC!$M$8),"x","")</f>
        <v/>
      </c>
      <c r="AB356" s="923"/>
      <c r="AE356" s="210"/>
      <c r="AF356" s="210"/>
      <c r="AG356" s="210"/>
    </row>
    <row r="357" spans="1:33" s="589" customFormat="1" ht="15.75" hidden="1" customHeight="1">
      <c r="A357" s="203" t="str">
        <f>IF(B357&lt;&gt;"",IF(AND(B357&gt;=_TM1,B357&lt;=_TM2,OR(TH!L357="1111",TH!M357="1111")),TH!D357,""),"")</f>
        <v/>
      </c>
      <c r="B357" s="36">
        <f t="shared" si="33"/>
        <v>1</v>
      </c>
      <c r="C357" s="183">
        <f t="shared" si="35"/>
        <v>0</v>
      </c>
      <c r="D357" s="190"/>
      <c r="E357" s="190"/>
      <c r="F357" s="188"/>
      <c r="G357" s="481"/>
      <c r="H357" s="209"/>
      <c r="I357" s="256"/>
      <c r="J357" s="256"/>
      <c r="K357" s="37"/>
      <c r="L357" s="193"/>
      <c r="M357" s="598"/>
      <c r="N357" s="51" t="str">
        <f>IF(AND('331-CT'!$E$7=TH!H484,OR(L357="331",M357="331")),"331",IF(AND(OR(L357="131",M357="131"),H357='131-CT'!$E$7),"131",""))</f>
        <v/>
      </c>
      <c r="O357" s="891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IF(OR(TH!L484=TH!$W$7,M357=TH!$W$7),"x","")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IF(AND(OR(LEFT(TH!L484,2)="15",LEFT(TH!M484,2)="15"),'152-CT'!$J$8=TH!F484),"x","")</f>
        <v/>
      </c>
      <c r="Z357" s="51" t="str">
        <f>IF(AND(OR(LEFT(TH!L484,2)="15",LEFT(TH!M484,2)="15"),TK!$E$7=TH!F484),"x","")</f>
        <v/>
      </c>
      <c r="AA357" s="51" t="str">
        <f>IF(AND(B357&lt;=NKC!$N$8,B357&gt;=NKC!$M$8),"x","")</f>
        <v/>
      </c>
      <c r="AB357" s="923"/>
      <c r="AE357" s="210"/>
      <c r="AF357" s="210"/>
      <c r="AG357" s="210"/>
    </row>
    <row r="358" spans="1:33" s="589" customFormat="1" ht="15.75" hidden="1" customHeight="1">
      <c r="A358" s="203" t="str">
        <f>IF(B358&lt;&gt;"",IF(AND(B358&gt;=_TM1,B358&lt;=_TM2,OR(TH!L358="1111",TH!M358="1111")),TH!D358,""),"")</f>
        <v/>
      </c>
      <c r="B358" s="36">
        <f t="shared" si="33"/>
        <v>1</v>
      </c>
      <c r="C358" s="183">
        <f t="shared" si="35"/>
        <v>0</v>
      </c>
      <c r="D358" s="190"/>
      <c r="E358" s="190"/>
      <c r="F358" s="188"/>
      <c r="G358" s="481"/>
      <c r="H358" s="209"/>
      <c r="I358" s="256"/>
      <c r="J358" s="256"/>
      <c r="K358" s="37"/>
      <c r="L358" s="193"/>
      <c r="M358" s="598"/>
      <c r="N358" s="51" t="str">
        <f>IF(AND('331-CT'!$E$7=TH!H485,OR(L358="331",M358="331")),"331",IF(AND(OR(L358="131",M358="131"),H358='131-CT'!$E$7),"131",""))</f>
        <v/>
      </c>
      <c r="O358" s="891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/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IF(OR(TH!L485=TH!$W$7,M358=TH!$W$7),"x","")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IF(AND(OR(LEFT(TH!L485,2)="15",LEFT(TH!M485,2)="15"),'152-CT'!$J$8=TH!F485),"x","")</f>
        <v/>
      </c>
      <c r="Z358" s="51" t="str">
        <f>IF(AND(OR(LEFT(TH!L485,2)="15",LEFT(TH!M485,2)="15"),TK!$E$7=TH!F485),"x","")</f>
        <v/>
      </c>
      <c r="AA358" s="51" t="str">
        <f>IF(AND(B358&lt;=NKC!$N$8,B358&gt;=NKC!$M$8),"x","")</f>
        <v/>
      </c>
      <c r="AB358" s="923"/>
      <c r="AE358" s="210"/>
    </row>
    <row r="359" spans="1:33" s="589" customFormat="1" ht="15.75" hidden="1" customHeight="1">
      <c r="A359" s="203" t="str">
        <f>IF(B359&lt;&gt;"",IF(AND(B359&gt;=_TM1,B359&lt;=_TM2,OR(TH!L359="1111",TH!M359="1111")),TH!D359,""),"")</f>
        <v/>
      </c>
      <c r="B359" s="36">
        <f t="shared" si="33"/>
        <v>1</v>
      </c>
      <c r="C359" s="183">
        <f t="shared" si="35"/>
        <v>0</v>
      </c>
      <c r="D359" s="190"/>
      <c r="E359" s="190"/>
      <c r="F359" s="188"/>
      <c r="G359" s="481"/>
      <c r="H359" s="209"/>
      <c r="I359" s="256"/>
      <c r="J359" s="256"/>
      <c r="K359" s="37"/>
      <c r="L359" s="193"/>
      <c r="M359" s="598"/>
      <c r="N359" s="51" t="str">
        <f>IF(AND('331-CT'!$E$7=TH!H486,OR(L359="331",M359="331")),"331",IF(AND(OR(L359="131",M359="131"),H359='131-CT'!$E$7),"131",""))</f>
        <v/>
      </c>
      <c r="O359" s="891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/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IF(OR(TH!L486=TH!$W$7,M359=TH!$W$7),"x","")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IF(AND(OR(LEFT(TH!L486,2)="15",LEFT(TH!M486,2)="15"),'152-CT'!$J$8=TH!F486),"x","")</f>
        <v/>
      </c>
      <c r="Z359" s="51" t="str">
        <f>IF(AND(OR(LEFT(TH!L486,2)="15",LEFT(TH!M486,2)="15"),TK!$E$7=TH!F486),"x","")</f>
        <v/>
      </c>
      <c r="AA359" s="51" t="str">
        <f>IF(AND(B359&lt;=NKC!$N$8,B359&gt;=NKC!$M$8),"x","")</f>
        <v/>
      </c>
      <c r="AB359" s="923"/>
      <c r="AE359" s="210"/>
    </row>
    <row r="360" spans="1:33" s="589" customFormat="1" ht="15.75" hidden="1" customHeight="1">
      <c r="A360" s="203" t="str">
        <f>IF(B360&lt;&gt;"",IF(AND(B360&gt;=_TM1,B360&lt;=_TM2,OR(TH!L360="1111",TH!M360="1111")),TH!D360,""),"")</f>
        <v/>
      </c>
      <c r="B360" s="36">
        <f t="shared" si="33"/>
        <v>1</v>
      </c>
      <c r="C360" s="183">
        <f t="shared" si="35"/>
        <v>0</v>
      </c>
      <c r="D360" s="190"/>
      <c r="E360" s="190"/>
      <c r="F360" s="188"/>
      <c r="G360" s="481"/>
      <c r="H360" s="209"/>
      <c r="I360" s="256"/>
      <c r="J360" s="256"/>
      <c r="K360" s="37"/>
      <c r="L360" s="193"/>
      <c r="M360" s="598"/>
      <c r="N360" s="51" t="str">
        <f>IF(AND('331-CT'!$E$7=TH!H487,OR(L360="331",M360="331")),"331",IF(AND(OR(L360="131",M360="131"),H360='131-CT'!$E$7),"131",""))</f>
        <v/>
      </c>
      <c r="O360" s="891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IF(OR(TH!L487=TH!$W$7,M360=TH!$W$7),"x","")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IF(AND(OR(LEFT(TH!L487,2)="15",LEFT(TH!M487,2)="15"),'152-CT'!$J$8=TH!F487),"x","")</f>
        <v/>
      </c>
      <c r="Z360" s="51" t="str">
        <f>IF(AND(OR(LEFT(TH!L487,2)="15",LEFT(TH!M487,2)="15"),TK!$E$7=TH!F487),"x","")</f>
        <v/>
      </c>
      <c r="AA360" s="51" t="str">
        <f>IF(AND(B360&lt;=NKC!$N$8,B360&gt;=NKC!$M$8),"x","")</f>
        <v/>
      </c>
      <c r="AB360" s="923"/>
      <c r="AE360" s="210"/>
    </row>
    <row r="361" spans="1:33" s="589" customFormat="1" ht="15.75" hidden="1" customHeight="1">
      <c r="A361" s="203" t="str">
        <f>IF(B361&lt;&gt;"",IF(AND(B361&gt;=_TM1,B361&lt;=_TM2,OR(TH!L361="1111",TH!M361="1111")),TH!D361,""),"")</f>
        <v/>
      </c>
      <c r="B361" s="36">
        <f t="shared" si="33"/>
        <v>1</v>
      </c>
      <c r="C361" s="183">
        <f t="shared" si="35"/>
        <v>0</v>
      </c>
      <c r="D361" s="190"/>
      <c r="E361" s="190"/>
      <c r="F361" s="188"/>
      <c r="G361" s="481"/>
      <c r="H361" s="209"/>
      <c r="I361" s="256"/>
      <c r="J361" s="256"/>
      <c r="K361" s="37"/>
      <c r="L361" s="193"/>
      <c r="M361" s="598"/>
      <c r="N361" s="51" t="str">
        <f>IF(AND('331-CT'!$E$7=TH!H488,OR(L361="331",M361="331")),"331",IF(AND(OR(L361="131",M361="131"),H361='131-CT'!$E$7),"131",""))</f>
        <v/>
      </c>
      <c r="O361" s="891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IF(OR(TH!L488=TH!$W$7,M361=TH!$W$7),"x","")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IF(AND(OR(LEFT(TH!L488,2)="15",LEFT(TH!M488,2)="15"),'152-CT'!$J$8=TH!F488),"x","")</f>
        <v/>
      </c>
      <c r="Z361" s="51" t="str">
        <f>IF(AND(OR(LEFT(TH!L488,2)="15",LEFT(TH!M488,2)="15"),TK!$E$7=TH!F488),"x","")</f>
        <v/>
      </c>
      <c r="AA361" s="51" t="str">
        <f>IF(AND(B361&lt;=NKC!$N$8,B361&gt;=NKC!$M$8),"x","")</f>
        <v/>
      </c>
      <c r="AB361" s="923"/>
      <c r="AE361" s="210"/>
    </row>
    <row r="362" spans="1:33" s="589" customFormat="1" ht="15.75" hidden="1" customHeight="1">
      <c r="A362" s="203" t="str">
        <f>IF(B362&lt;&gt;"",IF(AND(B362&gt;=_TM1,B362&lt;=_TM2,OR(TH!L362="1111",TH!M362="1111")),TH!D362,""),"")</f>
        <v/>
      </c>
      <c r="B362" s="36">
        <f t="shared" si="33"/>
        <v>1</v>
      </c>
      <c r="C362" s="183">
        <f t="shared" si="35"/>
        <v>0</v>
      </c>
      <c r="D362" s="190"/>
      <c r="E362" s="190"/>
      <c r="F362" s="188"/>
      <c r="G362" s="481"/>
      <c r="H362" s="209"/>
      <c r="I362" s="256"/>
      <c r="J362" s="256"/>
      <c r="K362" s="37"/>
      <c r="L362" s="193"/>
      <c r="M362" s="598"/>
      <c r="N362" s="51" t="str">
        <f>IF(AND('331-CT'!$E$7=TH!H489,OR(L362="331",M362="331")),"331",IF(AND(OR(L362="131",M362="131"),H362='131-CT'!$E$7),"131",""))</f>
        <v/>
      </c>
      <c r="O362" s="891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/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IF(OR(TH!L489=TH!$W$7,M362=TH!$W$7),"x","")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IF(AND(OR(LEFT(TH!L489,2)="15",LEFT(TH!M489,2)="15"),'152-CT'!$J$8=TH!F489),"x","")</f>
        <v/>
      </c>
      <c r="Z362" s="51" t="str">
        <f>IF(AND(OR(LEFT(TH!L489,2)="15",LEFT(TH!M489,2)="15"),TK!$E$7=TH!F489),"x","")</f>
        <v/>
      </c>
      <c r="AA362" s="51" t="str">
        <f>IF(AND(B362&lt;=NKC!$N$8,B362&gt;=NKC!$M$8),"x","")</f>
        <v/>
      </c>
      <c r="AB362" s="923"/>
      <c r="AE362" s="210"/>
    </row>
    <row r="363" spans="1:33" s="589" customFormat="1" ht="15.75" hidden="1" customHeight="1">
      <c r="A363" s="203" t="str">
        <f>IF(B363&lt;&gt;"",IF(AND(B363&gt;=_TM1,B363&lt;=_TM2,OR(TH!L363="1111",TH!M363="1111")),TH!D363,""),"")</f>
        <v/>
      </c>
      <c r="B363" s="36">
        <f t="shared" si="33"/>
        <v>1</v>
      </c>
      <c r="C363" s="183">
        <f t="shared" si="35"/>
        <v>0</v>
      </c>
      <c r="D363" s="190"/>
      <c r="E363" s="190"/>
      <c r="F363" s="188"/>
      <c r="G363" s="481"/>
      <c r="H363" s="209"/>
      <c r="I363" s="256"/>
      <c r="J363" s="256"/>
      <c r="K363" s="37"/>
      <c r="L363" s="193"/>
      <c r="M363" s="598"/>
      <c r="N363" s="51" t="str">
        <f>IF(AND('331-CT'!$E$7=TH!H490,OR(L363="331",M363="331")),"331",IF(AND(OR(L363="131",M363="131"),H363='131-CT'!$E$7),"131",""))</f>
        <v/>
      </c>
      <c r="O363" s="891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/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IF(OR(TH!L490=TH!$W$7,M363=TH!$W$7),"x","")</f>
        <v/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IF(AND(OR(LEFT(TH!L490,2)="15",LEFT(TH!M490,2)="15"),'152-CT'!$J$8=TH!F490),"x","")</f>
        <v/>
      </c>
      <c r="Z363" s="51" t="str">
        <f>IF(AND(OR(LEFT(TH!L490,2)="15",LEFT(TH!M490,2)="15"),TK!$E$7=TH!F490),"x","")</f>
        <v/>
      </c>
      <c r="AA363" s="51" t="str">
        <f>IF(AND(B363&lt;=NKC!$N$8,B363&gt;=NKC!$M$8),"x","")</f>
        <v/>
      </c>
      <c r="AB363" s="923"/>
      <c r="AD363" s="210"/>
      <c r="AE363" s="210"/>
    </row>
    <row r="364" spans="1:33" s="589" customFormat="1" ht="15.75" hidden="1" customHeight="1">
      <c r="A364" s="203" t="str">
        <f>IF(B364&lt;&gt;"",IF(AND(B364&gt;=_TM1,B364&lt;=_TM2,OR(TH!L364="1111",TH!M364="1111")),TH!D364,""),"")</f>
        <v/>
      </c>
      <c r="B364" s="36">
        <f t="shared" si="33"/>
        <v>1</v>
      </c>
      <c r="C364" s="183">
        <f t="shared" si="35"/>
        <v>0</v>
      </c>
      <c r="D364" s="190"/>
      <c r="E364" s="190"/>
      <c r="F364" s="188"/>
      <c r="G364" s="481"/>
      <c r="H364" s="209"/>
      <c r="I364" s="256"/>
      <c r="J364" s="256"/>
      <c r="K364" s="37"/>
      <c r="L364" s="193"/>
      <c r="M364" s="598"/>
      <c r="N364" s="51" t="str">
        <f>IF(AND('331-CT'!$E$7=TH!H491,OR(L364="331",M364="331")),"331",IF(AND(OR(L364="131",M364="131"),H364='131-CT'!$E$7),"131",""))</f>
        <v/>
      </c>
      <c r="O364" s="891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/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IF(OR(TH!L491=TH!$W$7,M364=TH!$W$7),"x","")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IF(AND(OR(LEFT(TH!L491,2)="15",LEFT(TH!M491,2)="15"),'152-CT'!$J$8=TH!F491),"x","")</f>
        <v/>
      </c>
      <c r="Z364" s="51" t="str">
        <f>IF(AND(OR(LEFT(TH!L491,2)="15",LEFT(TH!M491,2)="15"),TK!$E$7=TH!F491),"x","")</f>
        <v/>
      </c>
      <c r="AA364" s="51" t="str">
        <f>IF(AND(B364&lt;=NKC!$N$8,B364&gt;=NKC!$M$8),"x","")</f>
        <v/>
      </c>
      <c r="AB364" s="923"/>
      <c r="AE364" s="210"/>
    </row>
    <row r="365" spans="1:33" s="589" customFormat="1" ht="15.75" hidden="1" customHeight="1">
      <c r="A365" s="203" t="str">
        <f>IF(B365&lt;&gt;"",IF(AND(B365&gt;=_TM1,B365&lt;=_TM2,OR(TH!L365="1111",TH!M365="1111")),TH!D365,""),"")</f>
        <v/>
      </c>
      <c r="B365" s="36">
        <f t="shared" si="33"/>
        <v>1</v>
      </c>
      <c r="C365" s="183">
        <f t="shared" si="35"/>
        <v>0</v>
      </c>
      <c r="D365" s="190"/>
      <c r="E365" s="190"/>
      <c r="F365" s="188"/>
      <c r="G365" s="191"/>
      <c r="H365" s="209"/>
      <c r="I365" s="255"/>
      <c r="J365" s="255"/>
      <c r="K365" s="37"/>
      <c r="L365" s="193"/>
      <c r="M365" s="598"/>
      <c r="N365" s="51" t="str">
        <f>IF(AND('331-CT'!$E$7=TH!H492,OR(L365="331",M365="331")),"331",IF(AND(OR(L365="131",M365="131"),H365='131-CT'!$E$7),"131",""))</f>
        <v/>
      </c>
      <c r="O365" s="891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IF(OR(TH!L492=TH!$W$7,M365=TH!$W$7),"x","")</f>
        <v/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IF(AND(OR(LEFT(TH!L492,2)="15",LEFT(TH!M492,2)="15"),'152-CT'!$J$8=TH!F492),"x","")</f>
        <v/>
      </c>
      <c r="Z365" s="51" t="str">
        <f>IF(AND(OR(LEFT(TH!L492,2)="15",LEFT(TH!M492,2)="15"),TK!$E$7=TH!F492),"x","")</f>
        <v/>
      </c>
      <c r="AA365" s="51" t="str">
        <f>IF(AND(B365&lt;=NKC!$N$8,B365&gt;=NKC!$M$8),"x","")</f>
        <v/>
      </c>
      <c r="AB365" s="923"/>
      <c r="AD365" s="210"/>
      <c r="AE365" s="210"/>
    </row>
    <row r="366" spans="1:33" s="589" customFormat="1" ht="15.75" hidden="1" customHeight="1">
      <c r="A366" s="203" t="str">
        <f>IF(B366&lt;&gt;"",IF(AND(B366&gt;=_TM1,B366&lt;=_TM2,OR(TH!L366="1111",TH!M366="1111")),TH!D366,""),"")</f>
        <v/>
      </c>
      <c r="B366" s="36">
        <f t="shared" si="33"/>
        <v>1</v>
      </c>
      <c r="C366" s="183">
        <f t="shared" si="35"/>
        <v>0</v>
      </c>
      <c r="D366" s="190"/>
      <c r="E366" s="190"/>
      <c r="F366" s="191"/>
      <c r="G366" s="481"/>
      <c r="H366" s="192"/>
      <c r="I366" s="255"/>
      <c r="J366" s="255"/>
      <c r="K366" s="37"/>
      <c r="L366" s="193"/>
      <c r="M366" s="193"/>
      <c r="N366" s="51" t="str">
        <f>IF(AND('331-CT'!$E$7=TH!H493,OR(L366="331",M366="331")),"331",IF(AND(OR(L366="131",M366="131"),H366='131-CT'!$E$7),"131",""))</f>
        <v/>
      </c>
      <c r="O366" s="891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IF(OR(TH!L493=TH!$W$7,M366=TH!$W$7),"x","")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IF(AND(OR(LEFT(TH!L493,2)="15",LEFT(TH!M493,2)="15"),'152-CT'!$J$8=TH!F493),"x","")</f>
        <v/>
      </c>
      <c r="Z366" s="51" t="str">
        <f>IF(AND(OR(LEFT(TH!L493,2)="15",LEFT(TH!M493,2)="15"),TK!$E$7=TH!F493),"x","")</f>
        <v/>
      </c>
      <c r="AA366" s="51" t="str">
        <f>IF(AND(B366&lt;=NKC!$N$8,B366&gt;=NKC!$M$8),"x","")</f>
        <v/>
      </c>
      <c r="AB366" s="923"/>
      <c r="AE366" s="210"/>
    </row>
    <row r="367" spans="1:33" s="589" customFormat="1" ht="15.75" hidden="1" customHeight="1">
      <c r="A367" s="203" t="str">
        <f>IF(B367&lt;&gt;"",IF(AND(B367&gt;=_TM1,B367&lt;=_TM2,OR(TH!L367="1111",TH!M367="1111")),TH!D367,""),"")</f>
        <v/>
      </c>
      <c r="B367" s="36">
        <f t="shared" si="33"/>
        <v>1</v>
      </c>
      <c r="C367" s="183">
        <f t="shared" si="35"/>
        <v>0</v>
      </c>
      <c r="D367" s="190"/>
      <c r="E367" s="190"/>
      <c r="F367" s="191"/>
      <c r="G367" s="481"/>
      <c r="H367" s="782"/>
      <c r="I367" s="255"/>
      <c r="J367" s="255"/>
      <c r="K367" s="37"/>
      <c r="L367" s="193"/>
      <c r="M367" s="193"/>
      <c r="N367" s="51" t="str">
        <f>IF(AND('331-CT'!$E$7=TH!H494,OR(L367="331",M367="331")),"331",IF(AND(OR(L367="131",M367="131"),H367='131-CT'!$E$7),"131",""))</f>
        <v/>
      </c>
      <c r="O367" s="891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IF(OR(TH!L494=TH!$W$7,M367=TH!$W$7),"x","")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IF(AND(OR(LEFT(TH!L494,2)="15",LEFT(TH!M494,2)="15"),'152-CT'!$J$8=TH!F494),"x","")</f>
        <v/>
      </c>
      <c r="Z367" s="51" t="str">
        <f>IF(AND(OR(LEFT(TH!L494,2)="15",LEFT(TH!M494,2)="15"),TK!$E$7=TH!F494),"x","")</f>
        <v/>
      </c>
      <c r="AA367" s="51" t="str">
        <f>IF(AND(B367&lt;=NKC!$N$8,B367&gt;=NKC!$M$8),"x","")</f>
        <v/>
      </c>
      <c r="AB367" s="923"/>
      <c r="AE367" s="210"/>
    </row>
    <row r="368" spans="1:33" s="589" customFormat="1" ht="15.75" hidden="1" customHeight="1">
      <c r="A368" s="203" t="str">
        <f>IF(B368&lt;&gt;"",IF(AND(B368&gt;=_TM1,B368&lt;=_TM2,OR(TH!L368="1111",TH!M368="1111")),TH!D368,""),"")</f>
        <v/>
      </c>
      <c r="B368" s="36">
        <f t="shared" si="33"/>
        <v>1</v>
      </c>
      <c r="C368" s="183">
        <f t="shared" si="35"/>
        <v>0</v>
      </c>
      <c r="D368" s="190"/>
      <c r="E368" s="190"/>
      <c r="F368" s="191"/>
      <c r="G368" s="481"/>
      <c r="H368" s="782"/>
      <c r="I368" s="255"/>
      <c r="J368" s="255"/>
      <c r="K368" s="37"/>
      <c r="L368" s="193"/>
      <c r="M368" s="193"/>
      <c r="N368" s="51" t="str">
        <f>IF(AND('331-CT'!$E$7=TH!H495,OR(L368="331",M368="331")),"331",IF(AND(OR(L368="131",M368="131"),H368='131-CT'!$E$7),"131",""))</f>
        <v/>
      </c>
      <c r="O368" s="891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IF(OR(TH!L495=TH!$W$7,M368=TH!$W$7),"x","")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IF(AND(OR(LEFT(TH!L495,2)="15",LEFT(TH!M495,2)="15"),'152-CT'!$J$8=TH!F495),"x","")</f>
        <v/>
      </c>
      <c r="Z368" s="51" t="str">
        <f>IF(AND(OR(LEFT(TH!L495,2)="15",LEFT(TH!M495,2)="15"),TK!$E$7=TH!F495),"x","")</f>
        <v/>
      </c>
      <c r="AA368" s="51" t="str">
        <f>IF(AND(B368&lt;=NKC!$N$8,B368&gt;=NKC!$M$8),"x","")</f>
        <v/>
      </c>
      <c r="AB368" s="923"/>
      <c r="AE368" s="210"/>
    </row>
    <row r="369" spans="1:31" s="589" customFormat="1" ht="15.75" hidden="1" customHeight="1">
      <c r="A369" s="203" t="str">
        <f>IF(B369&lt;&gt;"",IF(AND(B369&gt;=_TM1,B369&lt;=_TM2,OR(TH!L369="1111",TH!M369="1111")),TH!D369,""),"")</f>
        <v/>
      </c>
      <c r="B369" s="36">
        <f t="shared" si="33"/>
        <v>1</v>
      </c>
      <c r="C369" s="183">
        <f t="shared" si="35"/>
        <v>0</v>
      </c>
      <c r="D369" s="190"/>
      <c r="E369" s="190"/>
      <c r="F369" s="191"/>
      <c r="G369" s="481"/>
      <c r="H369" s="782"/>
      <c r="I369" s="255"/>
      <c r="J369" s="255"/>
      <c r="K369" s="37"/>
      <c r="L369" s="193"/>
      <c r="M369" s="193"/>
      <c r="N369" s="51" t="str">
        <f>IF(AND('331-CT'!$E$7=TH!H496,OR(L369="331",M369="331")),"331",IF(AND(OR(L369="131",M369="131"),H369='131-CT'!$E$7),"131",""))</f>
        <v/>
      </c>
      <c r="O369" s="891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IF(OR(TH!L496=TH!$W$7,M369=TH!$W$7),"x","")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IF(AND(OR(LEFT(TH!L496,2)="15",LEFT(TH!M496,2)="15"),'152-CT'!$J$8=TH!F496),"x","")</f>
        <v/>
      </c>
      <c r="Z369" s="51" t="str">
        <f>IF(AND(OR(LEFT(TH!L496,2)="15",LEFT(TH!M496,2)="15"),TK!$E$7=TH!F496),"x","")</f>
        <v/>
      </c>
      <c r="AA369" s="51" t="str">
        <f>IF(AND(B369&lt;=NKC!$N$8,B369&gt;=NKC!$M$8),"x","")</f>
        <v/>
      </c>
      <c r="AB369" s="923"/>
      <c r="AE369" s="210"/>
    </row>
    <row r="370" spans="1:31" s="589" customFormat="1" ht="15.75" hidden="1" customHeight="1">
      <c r="A370" s="203" t="str">
        <f>IF(B370&lt;&gt;"",IF(AND(B370&gt;=_TM1,B370&lt;=_TM2,OR(TH!L370="1111",TH!M370="1111")),TH!D370,""),"")</f>
        <v/>
      </c>
      <c r="B370" s="36">
        <f t="shared" si="33"/>
        <v>1</v>
      </c>
      <c r="C370" s="183">
        <f t="shared" si="35"/>
        <v>0</v>
      </c>
      <c r="D370" s="190"/>
      <c r="E370" s="190"/>
      <c r="F370" s="919"/>
      <c r="G370" s="191"/>
      <c r="H370" s="782"/>
      <c r="I370" s="255"/>
      <c r="J370" s="255"/>
      <c r="K370" s="37"/>
      <c r="L370" s="193"/>
      <c r="M370" s="193"/>
      <c r="N370" s="51" t="str">
        <f>IF(AND('331-CT'!$E$7=TH!H497,OR(L370="331",M370="331")),"331",IF(AND(OR(L370="131",M370="131"),H370='131-CT'!$E$7),"131",""))</f>
        <v/>
      </c>
      <c r="O370" s="891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IF(OR(TH!L497=TH!$W$7,M370=TH!$W$7),"x","")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IF(AND(OR(LEFT(TH!L497,2)="15",LEFT(TH!M497,2)="15"),'152-CT'!$J$8=TH!F497),"x","")</f>
        <v/>
      </c>
      <c r="Z370" s="51" t="str">
        <f>IF(AND(OR(LEFT(TH!L497,2)="15",LEFT(TH!M497,2)="15"),TK!$E$7=TH!F497),"x","")</f>
        <v/>
      </c>
      <c r="AA370" s="51" t="str">
        <f>IF(AND(B370&lt;=NKC!$N$8,B370&gt;=NKC!$M$8),"x","")</f>
        <v/>
      </c>
      <c r="AB370" s="923"/>
      <c r="AE370" s="210"/>
    </row>
    <row r="371" spans="1:31" s="589" customFormat="1" ht="15.75" hidden="1" customHeight="1">
      <c r="A371" s="203" t="str">
        <f>IF(B371&lt;&gt;"",IF(AND(B371&gt;=_TM1,B371&lt;=_TM2,OR(TH!L371="1111",TH!M371="1111")),TH!D371,""),"")</f>
        <v/>
      </c>
      <c r="B371" s="36">
        <f t="shared" si="33"/>
        <v>1</v>
      </c>
      <c r="C371" s="183">
        <f t="shared" si="35"/>
        <v>0</v>
      </c>
      <c r="D371" s="190"/>
      <c r="E371" s="190"/>
      <c r="F371" s="191"/>
      <c r="G371" s="481"/>
      <c r="H371" s="782"/>
      <c r="I371" s="255"/>
      <c r="J371" s="255"/>
      <c r="K371" s="37"/>
      <c r="L371" s="193"/>
      <c r="M371" s="193"/>
      <c r="N371" s="51" t="str">
        <f>IF(AND('331-CT'!$E$7=TH!H498,OR(L371="331",M371="331")),"331",IF(AND(OR(L371="131",M371="131"),H371='131-CT'!$E$7),"131",""))</f>
        <v/>
      </c>
      <c r="O371" s="891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IF(OR(TH!L498=TH!$W$7,M371=TH!$W$7),"x","")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IF(AND(OR(LEFT(TH!L498,2)="15",LEFT(TH!M498,2)="15"),'152-CT'!$J$8=TH!F498),"x","")</f>
        <v/>
      </c>
      <c r="Z371" s="51" t="str">
        <f>IF(AND(OR(LEFT(TH!L498,2)="15",LEFT(TH!M498,2)="15"),TK!$E$7=TH!F498),"x","")</f>
        <v/>
      </c>
      <c r="AA371" s="51" t="str">
        <f>IF(AND(B371&lt;=NKC!$N$8,B371&gt;=NKC!$M$8),"x","")</f>
        <v/>
      </c>
      <c r="AB371" s="923"/>
      <c r="AD371" s="210"/>
      <c r="AE371" s="210"/>
    </row>
    <row r="372" spans="1:31" s="589" customFormat="1" ht="15.75" hidden="1" customHeight="1">
      <c r="A372" s="203" t="str">
        <f>IF(B372&lt;&gt;"",IF(AND(B372&gt;=_TM1,B372&lt;=_TM2,OR(TH!L372="1111",TH!M372="1111")),TH!D372,""),"")</f>
        <v/>
      </c>
      <c r="B372" s="36">
        <f t="shared" si="33"/>
        <v>1</v>
      </c>
      <c r="C372" s="183">
        <f t="shared" si="35"/>
        <v>0</v>
      </c>
      <c r="D372" s="190"/>
      <c r="E372" s="190"/>
      <c r="F372" s="919"/>
      <c r="G372" s="191"/>
      <c r="H372" s="782"/>
      <c r="I372" s="255"/>
      <c r="J372" s="255"/>
      <c r="K372" s="37"/>
      <c r="L372" s="193"/>
      <c r="M372" s="193"/>
      <c r="N372" s="51" t="str">
        <f>IF(AND('331-CT'!$E$7=TH!H499,OR(L372="331",M372="331")),"331",IF(AND(OR(L372="131",M372="131"),H372='131-CT'!$E$7),"131",""))</f>
        <v/>
      </c>
      <c r="O372" s="891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IF(OR(TH!L499=TH!$W$7,M372=TH!$W$7),"x","")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IF(AND(OR(LEFT(TH!L499,2)="15",LEFT(TH!M499,2)="15"),'152-CT'!$J$8=TH!F499),"x","")</f>
        <v/>
      </c>
      <c r="Z372" s="51" t="str">
        <f>IF(AND(OR(LEFT(TH!L499,2)="15",LEFT(TH!M499,2)="15"),TK!$E$7=TH!F499),"x","")</f>
        <v/>
      </c>
      <c r="AA372" s="51" t="str">
        <f>IF(AND(B372&lt;=NKC!$N$8,B372&gt;=NKC!$M$8),"x","")</f>
        <v/>
      </c>
      <c r="AB372" s="923"/>
      <c r="AE372" s="210"/>
    </row>
    <row r="373" spans="1:31" s="589" customFormat="1" ht="15.75" hidden="1" customHeight="1">
      <c r="A373" s="203" t="str">
        <f>IF(B373&lt;&gt;"",IF(AND(B373&gt;=_TM1,B373&lt;=_TM2,OR(TH!L373="1111",TH!M373="1111")),TH!D373,""),"")</f>
        <v/>
      </c>
      <c r="B373" s="36">
        <f t="shared" si="33"/>
        <v>1</v>
      </c>
      <c r="C373" s="183">
        <f t="shared" si="35"/>
        <v>0</v>
      </c>
      <c r="D373" s="190"/>
      <c r="E373" s="190"/>
      <c r="F373" s="191"/>
      <c r="G373" s="481"/>
      <c r="H373" s="782"/>
      <c r="I373" s="255"/>
      <c r="J373" s="255"/>
      <c r="K373" s="37"/>
      <c r="L373" s="193"/>
      <c r="M373" s="193"/>
      <c r="N373" s="51" t="str">
        <f>IF(AND('331-CT'!$E$7=TH!H500,OR(L373="331",M373="331")),"331",IF(AND(OR(L373="131",M373="131"),H373='131-CT'!$E$7),"131",""))</f>
        <v/>
      </c>
      <c r="O373" s="891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IF(OR(TH!L500=TH!$W$7,M373=TH!$W$7),"x","")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IF(AND(OR(LEFT(TH!L500,2)="15",LEFT(TH!M500,2)="15"),'152-CT'!$J$8=TH!F500),"x","")</f>
        <v/>
      </c>
      <c r="Z373" s="51" t="str">
        <f>IF(AND(OR(LEFT(TH!L500,2)="15",LEFT(TH!M500,2)="15"),TK!$E$7=TH!F500),"x","")</f>
        <v/>
      </c>
      <c r="AA373" s="51" t="str">
        <f>IF(AND(B373&lt;=NKC!$N$8,B373&gt;=NKC!$M$8),"x","")</f>
        <v/>
      </c>
      <c r="AB373" s="923"/>
      <c r="AE373" s="210"/>
    </row>
    <row r="374" spans="1:31" s="589" customFormat="1" ht="15.75" hidden="1" customHeight="1">
      <c r="A374" s="203" t="str">
        <f>IF(B374&lt;&gt;"",IF(AND(B374&gt;=_TM1,B374&lt;=_TM2,OR(TH!L374="1111",TH!M374="1111")),TH!D374,""),"")</f>
        <v/>
      </c>
      <c r="B374" s="36">
        <f t="shared" si="33"/>
        <v>1</v>
      </c>
      <c r="C374" s="183">
        <f t="shared" si="35"/>
        <v>0</v>
      </c>
      <c r="D374" s="190"/>
      <c r="E374" s="190"/>
      <c r="F374" s="191"/>
      <c r="G374" s="191"/>
      <c r="H374" s="192"/>
      <c r="I374" s="255"/>
      <c r="J374" s="255"/>
      <c r="K374" s="37"/>
      <c r="L374" s="193"/>
      <c r="M374" s="193"/>
      <c r="N374" s="51" t="str">
        <f>IF(AND('331-CT'!$E$7=TH!H501,OR(L374="331",M374="331")),"331",IF(AND(OR(L374="131",M374="131"),H374='131-CT'!$E$7),"131",""))</f>
        <v/>
      </c>
      <c r="O374" s="891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IF(OR(TH!L501=TH!$W$7,M374=TH!$W$7),"x","")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IF(AND(OR(LEFT(TH!L501,2)="15",LEFT(TH!M501,2)="15"),'152-CT'!$J$8=TH!F501),"x","")</f>
        <v/>
      </c>
      <c r="Z374" s="51" t="str">
        <f>IF(AND(OR(LEFT(TH!L501,2)="15",LEFT(TH!M501,2)="15"),TK!$E$7=TH!F501),"x","")</f>
        <v/>
      </c>
      <c r="AA374" s="51" t="str">
        <f>IF(AND(B374&lt;=NKC!$N$8,B374&gt;=NKC!$M$8),"x","")</f>
        <v/>
      </c>
      <c r="AB374" s="923"/>
      <c r="AE374" s="210"/>
    </row>
    <row r="375" spans="1:31" s="589" customFormat="1" ht="15.75" hidden="1" customHeight="1">
      <c r="A375" s="203" t="str">
        <f>IF(B375&lt;&gt;"",IF(AND(B375&gt;=_TM1,B375&lt;=_TM2,OR(TH!L375="1111",TH!M375="1111")),TH!D375,""),"")</f>
        <v/>
      </c>
      <c r="B375" s="36">
        <f t="shared" si="33"/>
        <v>1</v>
      </c>
      <c r="C375" s="183">
        <f t="shared" si="35"/>
        <v>0</v>
      </c>
      <c r="D375" s="190"/>
      <c r="E375" s="190"/>
      <c r="F375" s="191"/>
      <c r="G375" s="481"/>
      <c r="H375" s="192"/>
      <c r="I375" s="255"/>
      <c r="J375" s="255"/>
      <c r="K375" s="37"/>
      <c r="L375" s="193"/>
      <c r="M375" s="193"/>
      <c r="N375" s="51" t="str">
        <f>IF(AND('331-CT'!$E$7=TH!H502,OR(L375="331",M375="331")),"331",IF(AND(OR(L375="131",M375="131"),H375='131-CT'!$E$7),"131",""))</f>
        <v/>
      </c>
      <c r="O375" s="891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IF(OR(TH!L502=TH!$W$7,M375=TH!$W$7),"x","")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IF(AND(OR(LEFT(TH!L502,2)="15",LEFT(TH!M502,2)="15"),'152-CT'!$J$8=TH!F502),"x","")</f>
        <v/>
      </c>
      <c r="Z375" s="51" t="str">
        <f>IF(AND(OR(LEFT(TH!L502,2)="15",LEFT(TH!M502,2)="15"),TK!$E$7=TH!F502),"x","")</f>
        <v/>
      </c>
      <c r="AA375" s="51" t="str">
        <f>IF(AND(B375&lt;=NKC!$N$8,B375&gt;=NKC!$M$8),"x","")</f>
        <v/>
      </c>
      <c r="AB375" s="923"/>
      <c r="AE375" s="210"/>
    </row>
    <row r="376" spans="1:31" s="589" customFormat="1" ht="15.75" hidden="1" customHeight="1">
      <c r="A376" s="203" t="str">
        <f>IF(B376&lt;&gt;"",IF(AND(B376&gt;=_TM1,B376&lt;=_TM2,OR(TH!L376="1111",TH!M376="1111")),TH!D376,""),"")</f>
        <v/>
      </c>
      <c r="B376" s="36">
        <f t="shared" si="33"/>
        <v>1</v>
      </c>
      <c r="C376" s="183">
        <f t="shared" si="35"/>
        <v>0</v>
      </c>
      <c r="D376" s="190"/>
      <c r="E376" s="190"/>
      <c r="F376" s="191"/>
      <c r="G376" s="191"/>
      <c r="H376" s="192"/>
      <c r="I376" s="255"/>
      <c r="J376" s="255"/>
      <c r="K376" s="37"/>
      <c r="L376" s="193"/>
      <c r="M376" s="193"/>
      <c r="N376" s="51" t="str">
        <f>IF(AND('331-CT'!$E$7=TH!H503,OR(L376="331",M376="331")),"331",IF(AND(OR(L376="131",M376="131"),H376='131-CT'!$E$7),"131",""))</f>
        <v/>
      </c>
      <c r="O376" s="891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IF(OR(TH!L503=TH!$W$7,M376=TH!$W$7),"x","")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IF(AND(OR(LEFT(TH!L503,2)="15",LEFT(TH!M503,2)="15"),'152-CT'!$J$8=TH!F503),"x","")</f>
        <v/>
      </c>
      <c r="Z376" s="51" t="str">
        <f>IF(AND(OR(LEFT(TH!L503,2)="15",LEFT(TH!M503,2)="15"),TK!$E$7=TH!F503),"x","")</f>
        <v/>
      </c>
      <c r="AA376" s="51" t="str">
        <f>IF(AND(B376&lt;=NKC!$N$8,B376&gt;=NKC!$M$8),"x","")</f>
        <v/>
      </c>
      <c r="AB376" s="923"/>
      <c r="AD376" s="210"/>
      <c r="AE376" s="210"/>
    </row>
    <row r="377" spans="1:31" s="589" customFormat="1" ht="15.75" hidden="1" customHeight="1">
      <c r="A377" s="203" t="str">
        <f>IF(B377&lt;&gt;"",IF(AND(B377&gt;=_TM1,B377&lt;=_TM2,OR(TH!L377="1111",TH!M377="1111")),TH!D377,""),"")</f>
        <v/>
      </c>
      <c r="B377" s="36">
        <f t="shared" si="33"/>
        <v>1</v>
      </c>
      <c r="C377" s="183">
        <f t="shared" si="35"/>
        <v>0</v>
      </c>
      <c r="D377" s="190"/>
      <c r="E377" s="190"/>
      <c r="F377" s="191"/>
      <c r="G377" s="481"/>
      <c r="H377" s="192"/>
      <c r="I377" s="255"/>
      <c r="J377" s="255"/>
      <c r="K377" s="37"/>
      <c r="L377" s="193"/>
      <c r="M377" s="193"/>
      <c r="N377" s="51" t="str">
        <f>IF(AND('331-CT'!$E$7=TH!H504,OR(L377="331",M377="331")),"331",IF(AND(OR(L377="131",M377="131"),H377='131-CT'!$E$7),"131",""))</f>
        <v/>
      </c>
      <c r="O377" s="891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IF(OR(TH!L504=TH!$W$7,M377=TH!$W$7),"x","")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IF(AND(OR(LEFT(TH!L504,2)="15",LEFT(TH!M504,2)="15"),'152-CT'!$J$8=TH!F504),"x","")</f>
        <v/>
      </c>
      <c r="Z377" s="51" t="str">
        <f>IF(AND(OR(LEFT(TH!L504,2)="15",LEFT(TH!M504,2)="15"),TK!$E$7=TH!F504),"x","")</f>
        <v/>
      </c>
      <c r="AA377" s="51" t="str">
        <f>IF(AND(B377&lt;=NKC!$N$8,B377&gt;=NKC!$M$8),"x","")</f>
        <v/>
      </c>
      <c r="AB377" s="923"/>
      <c r="AE377" s="210"/>
    </row>
    <row r="378" spans="1:31" s="589" customFormat="1" ht="15.75" hidden="1" customHeight="1">
      <c r="A378" s="203" t="str">
        <f>IF(B378&lt;&gt;"",IF(AND(B378&gt;=_TM1,B378&lt;=_TM2,OR(TH!L378="1111",TH!M378="1111")),TH!D378,""),"")</f>
        <v/>
      </c>
      <c r="B378" s="36">
        <f t="shared" si="33"/>
        <v>1</v>
      </c>
      <c r="C378" s="183">
        <f t="shared" si="35"/>
        <v>0</v>
      </c>
      <c r="D378" s="190"/>
      <c r="E378" s="190"/>
      <c r="F378" s="191"/>
      <c r="G378" s="191"/>
      <c r="H378" s="7"/>
      <c r="I378" s="255"/>
      <c r="J378" s="255"/>
      <c r="K378" s="37"/>
      <c r="L378" s="193"/>
      <c r="M378" s="193"/>
      <c r="N378" s="51" t="str">
        <f>IF(AND('331-CT'!$E$7=TH!H505,OR(L378="331",M378="331")),"331",IF(AND(OR(L378="131",M378="131"),H378='131-CT'!$E$7),"131",""))</f>
        <v/>
      </c>
      <c r="O378" s="891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IF(OR(TH!L505=TH!$W$7,M378=TH!$W$7),"x","")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IF(AND(OR(LEFT(TH!L505,2)="15",LEFT(TH!M505,2)="15"),'152-CT'!$J$8=TH!F505),"x","")</f>
        <v/>
      </c>
      <c r="Z378" s="51" t="str">
        <f>IF(AND(OR(LEFT(TH!L505,2)="15",LEFT(TH!M505,2)="15"),TK!$E$7=TH!F505),"x","")</f>
        <v/>
      </c>
      <c r="AA378" s="51" t="str">
        <f>IF(AND(B378&lt;=NKC!$N$8,B378&gt;=NKC!$M$8),"x","")</f>
        <v/>
      </c>
      <c r="AB378" s="923"/>
      <c r="AE378" s="210"/>
    </row>
    <row r="379" spans="1:31" s="589" customFormat="1" ht="15.75" hidden="1" customHeight="1">
      <c r="A379" s="203" t="str">
        <f>IF(B379&lt;&gt;"",IF(AND(B379&gt;=_TM1,B379&lt;=_TM2,OR(TH!L379="1111",TH!M379="1111")),TH!D379,""),"")</f>
        <v/>
      </c>
      <c r="B379" s="36">
        <f t="shared" si="33"/>
        <v>1</v>
      </c>
      <c r="C379" s="183">
        <f t="shared" si="35"/>
        <v>0</v>
      </c>
      <c r="D379" s="190"/>
      <c r="E379" s="190"/>
      <c r="F379" s="191"/>
      <c r="G379" s="191"/>
      <c r="H379" s="7"/>
      <c r="I379" s="255"/>
      <c r="J379" s="255"/>
      <c r="K379" s="37"/>
      <c r="L379" s="193"/>
      <c r="M379" s="193"/>
      <c r="N379" s="51" t="str">
        <f>IF(AND('331-CT'!$E$7=TH!H506,OR(L379="331",M379="331")),"331",IF(AND(OR(L379="131",M379="131"),H379='131-CT'!$E$7),"131",""))</f>
        <v/>
      </c>
      <c r="O379" s="891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IF(OR(TH!L506=TH!$W$7,M379=TH!$W$7),"x","")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IF(AND(OR(LEFT(TH!L506,2)="15",LEFT(TH!M506,2)="15"),'152-CT'!$J$8=TH!F506),"x","")</f>
        <v/>
      </c>
      <c r="Z379" s="51" t="str">
        <f>IF(AND(OR(LEFT(TH!L506,2)="15",LEFT(TH!M506,2)="15"),TK!$E$7=TH!F506),"x","")</f>
        <v/>
      </c>
      <c r="AA379" s="51" t="str">
        <f>IF(AND(B379&lt;=NKC!$N$8,B379&gt;=NKC!$M$8),"x","")</f>
        <v/>
      </c>
      <c r="AB379" s="923"/>
      <c r="AD379" s="210"/>
      <c r="AE379" s="210"/>
    </row>
    <row r="380" spans="1:31" s="589" customFormat="1" ht="15.75" hidden="1" customHeight="1">
      <c r="A380" s="203" t="str">
        <f>IF(B380&lt;&gt;"",IF(AND(B380&gt;=_TM1,B380&lt;=_TM2,OR(TH!L380="1111",TH!M380="1111")),TH!D380,""),"")</f>
        <v/>
      </c>
      <c r="B380" s="36">
        <f t="shared" si="33"/>
        <v>1</v>
      </c>
      <c r="C380" s="183">
        <f t="shared" si="35"/>
        <v>0</v>
      </c>
      <c r="D380" s="190"/>
      <c r="E380" s="190"/>
      <c r="F380" s="191"/>
      <c r="G380" s="191"/>
      <c r="H380" s="192"/>
      <c r="I380" s="255"/>
      <c r="J380" s="255"/>
      <c r="K380" s="37"/>
      <c r="L380" s="193"/>
      <c r="M380" s="193"/>
      <c r="N380" s="51" t="str">
        <f>IF(AND('331-CT'!$E$7=TH!H507,OR(L380="331",M380="331")),"331",IF(AND(OR(L380="131",M380="131"),H380='131-CT'!$E$7),"131",""))</f>
        <v/>
      </c>
      <c r="O380" s="891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IF(OR(TH!L507=TH!$W$7,M380=TH!$W$7),"x","")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IF(AND(OR(LEFT(TH!L507,2)="15",LEFT(TH!M507,2)="15"),'152-CT'!$J$8=TH!F507),"x","")</f>
        <v/>
      </c>
      <c r="Z380" s="51" t="str">
        <f>IF(AND(OR(LEFT(TH!L507,2)="15",LEFT(TH!M507,2)="15"),TK!$E$7=TH!F507),"x","")</f>
        <v/>
      </c>
      <c r="AA380" s="51" t="str">
        <f>IF(AND(B380&lt;=NKC!$N$8,B380&gt;=NKC!$M$8),"x","")</f>
        <v/>
      </c>
      <c r="AB380" s="923"/>
      <c r="AE380" s="210"/>
    </row>
    <row r="381" spans="1:31" s="589" customFormat="1" ht="15.75" hidden="1" customHeight="1">
      <c r="A381" s="203" t="str">
        <f>IF(B381&lt;&gt;"",IF(AND(B381&gt;=_TM1,B381&lt;=_TM2,OR(TH!L381="1111",TH!M381="1111")),TH!D381,""),"")</f>
        <v/>
      </c>
      <c r="B381" s="36">
        <f t="shared" si="33"/>
        <v>1</v>
      </c>
      <c r="C381" s="183">
        <f t="shared" si="35"/>
        <v>0</v>
      </c>
      <c r="D381" s="190"/>
      <c r="E381" s="190"/>
      <c r="F381" s="191"/>
      <c r="G381" s="191"/>
      <c r="H381" s="783"/>
      <c r="I381" s="255"/>
      <c r="J381" s="255"/>
      <c r="K381" s="37"/>
      <c r="L381" s="193"/>
      <c r="M381" s="193"/>
      <c r="N381" s="51" t="str">
        <f>IF(AND('331-CT'!$E$7=TH!H508,OR(L381="331",M381="331")),"331",IF(AND(OR(L381="131",M381="131"),H381='131-CT'!$E$7),"131",""))</f>
        <v/>
      </c>
      <c r="O381" s="891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IF(OR(TH!L508=TH!$W$7,M381=TH!$W$7),"x","")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IF(AND(OR(LEFT(TH!L508,2)="15",LEFT(TH!M508,2)="15"),'152-CT'!$J$8=TH!F508),"x","")</f>
        <v/>
      </c>
      <c r="Z381" s="51" t="str">
        <f>IF(AND(OR(LEFT(TH!L508,2)="15",LEFT(TH!M508,2)="15"),TK!$E$7=TH!F508),"x","")</f>
        <v/>
      </c>
      <c r="AA381" s="51" t="str">
        <f>IF(AND(B381&lt;=NKC!$N$8,B381&gt;=NKC!$M$8),"x","")</f>
        <v/>
      </c>
      <c r="AB381" s="923"/>
      <c r="AD381" s="210"/>
      <c r="AE381" s="210"/>
    </row>
    <row r="382" spans="1:31" s="589" customFormat="1" ht="15.75" hidden="1" customHeight="1">
      <c r="A382" s="203" t="str">
        <f>IF(B382&lt;&gt;"",IF(AND(B382&gt;=_TM1,B382&lt;=_TM2,OR(TH!L382="1111",TH!M382="1111")),TH!D382,""),"")</f>
        <v/>
      </c>
      <c r="B382" s="36">
        <f t="shared" si="33"/>
        <v>1</v>
      </c>
      <c r="C382" s="183">
        <f t="shared" si="35"/>
        <v>0</v>
      </c>
      <c r="D382" s="190"/>
      <c r="E382" s="190"/>
      <c r="F382" s="191"/>
      <c r="G382" s="191"/>
      <c r="H382" s="783"/>
      <c r="I382" s="257"/>
      <c r="J382" s="255"/>
      <c r="K382" s="37"/>
      <c r="L382" s="193"/>
      <c r="M382" s="193"/>
      <c r="N382" s="51" t="str">
        <f>IF(AND('331-CT'!$E$7=TH!H509,OR(L382="331",M382="331")),"331",IF(AND(OR(L382="131",M382="131"),H382='131-CT'!$E$7),"131",""))</f>
        <v/>
      </c>
      <c r="O382" s="891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IF(OR(TH!L509=TH!$W$7,M382=TH!$W$7),"x","")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IF(AND(OR(LEFT(TH!L509,2)="15",LEFT(TH!M509,2)="15"),'152-CT'!$J$8=TH!F509),"x","")</f>
        <v/>
      </c>
      <c r="Z382" s="51" t="str">
        <f>IF(AND(OR(LEFT(TH!L509,2)="15",LEFT(TH!M509,2)="15"),TK!$E$7=TH!F509),"x","")</f>
        <v/>
      </c>
      <c r="AA382" s="51" t="str">
        <f>IF(AND(B382&lt;=NKC!$N$8,B382&gt;=NKC!$M$8),"x","")</f>
        <v/>
      </c>
      <c r="AB382" s="923"/>
      <c r="AE382" s="210"/>
    </row>
    <row r="383" spans="1:31" s="589" customFormat="1" ht="15.75" hidden="1" customHeight="1">
      <c r="A383" s="203" t="str">
        <f>IF(B383&lt;&gt;"",IF(AND(B383&gt;=_TM1,B383&lt;=_TM2,OR(TH!L383="1111",TH!M383="1111")),TH!D383,""),"")</f>
        <v/>
      </c>
      <c r="B383" s="36">
        <f t="shared" si="33"/>
        <v>1</v>
      </c>
      <c r="C383" s="183">
        <f t="shared" si="35"/>
        <v>0</v>
      </c>
      <c r="D383" s="190"/>
      <c r="E383" s="190"/>
      <c r="F383" s="191"/>
      <c r="G383" s="481"/>
      <c r="H383" s="192"/>
      <c r="I383" s="255"/>
      <c r="J383" s="255"/>
      <c r="K383" s="37"/>
      <c r="L383" s="193"/>
      <c r="M383" s="193"/>
      <c r="N383" s="51" t="str">
        <f>IF(AND('331-CT'!$E$7=TH!H510,OR(L383="331",M383="331")),"331",IF(AND(OR(L383="131",M383="131"),H383='131-CT'!$E$7),"131",""))</f>
        <v/>
      </c>
      <c r="O383" s="891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IF(OR(TH!L510=TH!$W$7,M383=TH!$W$7),"x","")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IF(AND(OR(LEFT(TH!L510,2)="15",LEFT(TH!M510,2)="15"),'152-CT'!$J$8=TH!F510),"x","")</f>
        <v/>
      </c>
      <c r="Z383" s="51" t="str">
        <f>IF(AND(OR(LEFT(TH!L510,2)="15",LEFT(TH!M510,2)="15"),TK!$E$7=TH!F510),"x","")</f>
        <v/>
      </c>
      <c r="AA383" s="51" t="str">
        <f>IF(AND(B383&lt;=NKC!$N$8,B383&gt;=NKC!$M$8),"x","")</f>
        <v/>
      </c>
      <c r="AB383" s="923"/>
      <c r="AD383" s="210"/>
      <c r="AE383" s="210"/>
    </row>
    <row r="384" spans="1:31" s="589" customFormat="1" ht="15.75" hidden="1" customHeight="1">
      <c r="A384" s="203" t="str">
        <f>IF(B384&lt;&gt;"",IF(AND(B384&gt;=_TM1,B384&lt;=_TM2,OR(TH!L384="1111",TH!M384="1111")),TH!D384,""),"")</f>
        <v/>
      </c>
      <c r="B384" s="36">
        <f t="shared" si="33"/>
        <v>1</v>
      </c>
      <c r="C384" s="183">
        <f t="shared" si="35"/>
        <v>0</v>
      </c>
      <c r="D384" s="190"/>
      <c r="E384" s="190"/>
      <c r="F384" s="191"/>
      <c r="G384" s="191"/>
      <c r="H384" s="901"/>
      <c r="I384" s="255"/>
      <c r="J384" s="255"/>
      <c r="K384" s="37"/>
      <c r="L384" s="193"/>
      <c r="M384" s="193"/>
      <c r="N384" s="51" t="str">
        <f>IF(AND('331-CT'!$E$7=TH!H511,OR(L384="331",M384="331")),"331",IF(AND(OR(L384="131",M384="131"),H384='131-CT'!$E$7),"131",""))</f>
        <v/>
      </c>
      <c r="O384" s="891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IF(OR(TH!L511=TH!$W$7,M384=TH!$W$7),"x","")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IF(AND(OR(LEFT(TH!L511,2)="15",LEFT(TH!M511,2)="15"),'152-CT'!$J$8=TH!F511),"x","")</f>
        <v/>
      </c>
      <c r="Z384" s="51" t="str">
        <f>IF(AND(OR(LEFT(TH!L511,2)="15",LEFT(TH!M511,2)="15"),TK!$E$7=TH!F511),"x","")</f>
        <v/>
      </c>
      <c r="AA384" s="51" t="str">
        <f>IF(AND(B384&lt;=NKC!$N$8,B384&gt;=NKC!$M$8),"x","")</f>
        <v/>
      </c>
      <c r="AB384" s="923"/>
      <c r="AE384" s="210"/>
    </row>
    <row r="385" spans="1:33" s="589" customFormat="1" ht="15.75" hidden="1" customHeight="1">
      <c r="A385" s="203" t="str">
        <f>IF(B385&lt;&gt;"",IF(AND(B385&gt;=_TM1,B385&lt;=_TM2,OR(TH!L385="1111",TH!M385="1111")),TH!D385,""),"")</f>
        <v/>
      </c>
      <c r="B385" s="36">
        <f t="shared" si="33"/>
        <v>1</v>
      </c>
      <c r="C385" s="183">
        <f t="shared" si="35"/>
        <v>0</v>
      </c>
      <c r="D385" s="190"/>
      <c r="E385" s="190"/>
      <c r="F385" s="191"/>
      <c r="G385" s="907"/>
      <c r="H385" s="209"/>
      <c r="I385" s="256"/>
      <c r="J385" s="256"/>
      <c r="K385" s="37"/>
      <c r="L385" s="193"/>
      <c r="M385" s="193"/>
      <c r="N385" s="51" t="str">
        <f>IF(AND('331-CT'!$E$7=TH!H512,OR(L385="331",M385="331")),"331",IF(AND(OR(L385="131",M385="131"),H385='131-CT'!$E$7),"131",""))</f>
        <v/>
      </c>
      <c r="O385" s="891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IF(OR(TH!L512=TH!$W$7,M385=TH!$W$7),"x","")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IF(AND(OR(LEFT(TH!L512,2)="15",LEFT(TH!M512,2)="15"),'152-CT'!$J$8=TH!F512),"x","")</f>
        <v/>
      </c>
      <c r="Z385" s="51" t="str">
        <f>IF(AND(OR(LEFT(TH!L512,2)="15",LEFT(TH!M512,2)="15"),TK!$E$7=TH!F512),"x","")</f>
        <v/>
      </c>
      <c r="AA385" s="51" t="str">
        <f>IF(AND(B385&lt;=NKC!$N$8,B385&gt;=NKC!$M$8),"x","")</f>
        <v/>
      </c>
      <c r="AB385" s="923"/>
      <c r="AE385" s="210"/>
    </row>
    <row r="386" spans="1:33" s="210" customFormat="1" ht="15.75" hidden="1" customHeight="1">
      <c r="A386" s="203" t="str">
        <f>IF(B386&lt;&gt;"",IF(AND(B386&gt;=_TM1,B386&lt;=_TM2,OR(TH!L386="1111",TH!M386="1111")),TH!D386,""),"")</f>
        <v/>
      </c>
      <c r="B386" s="36">
        <f t="shared" si="33"/>
        <v>1</v>
      </c>
      <c r="C386" s="183">
        <f t="shared" si="35"/>
        <v>0</v>
      </c>
      <c r="D386" s="190"/>
      <c r="E386" s="190"/>
      <c r="F386" s="191"/>
      <c r="G386" s="191"/>
      <c r="H386" s="901"/>
      <c r="I386" s="255"/>
      <c r="J386" s="255"/>
      <c r="K386" s="37"/>
      <c r="L386" s="193"/>
      <c r="M386" s="193"/>
      <c r="N386" s="51" t="str">
        <f>IF(AND('331-CT'!$E$7=TH!H513,OR(L386="331",M386="331")),"331",IF(AND(OR(L386="131",M386="131"),H386='131-CT'!$E$7),"131",""))</f>
        <v/>
      </c>
      <c r="O386" s="891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IF(OR(TH!L513=TH!$W$7,M386=TH!$W$7),"x","")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IF(AND(OR(LEFT(TH!L513,2)="15",LEFT(TH!M513,2)="15"),'152-CT'!$J$8=TH!F513),"x","")</f>
        <v/>
      </c>
      <c r="Z386" s="51" t="str">
        <f>IF(AND(OR(LEFT(TH!L513,2)="15",LEFT(TH!M513,2)="15"),TK!$E$7=TH!F513),"x","")</f>
        <v/>
      </c>
      <c r="AA386" s="51" t="str">
        <f>IF(AND(B386&lt;=NKC!$N$8,B386&gt;=NKC!$M$8),"x","")</f>
        <v/>
      </c>
      <c r="AB386" s="923"/>
      <c r="AC386" s="589"/>
      <c r="AD386" s="589"/>
      <c r="AF386" s="589"/>
      <c r="AG386" s="589"/>
    </row>
    <row r="387" spans="1:33" s="210" customFormat="1" ht="15.75" hidden="1" customHeight="1">
      <c r="A387" s="203" t="str">
        <f>IF(B387&lt;&gt;"",IF(AND(B387&gt;=_TM1,B387&lt;=_TM2,OR(TH!L387="1111",TH!M387="1111")),TH!D387,""),"")</f>
        <v/>
      </c>
      <c r="B387" s="36">
        <f t="shared" si="33"/>
        <v>1</v>
      </c>
      <c r="C387" s="183">
        <f t="shared" si="35"/>
        <v>0</v>
      </c>
      <c r="D387" s="190"/>
      <c r="E387" s="190"/>
      <c r="F387" s="191"/>
      <c r="G387" s="907"/>
      <c r="H387" s="209"/>
      <c r="I387" s="256"/>
      <c r="J387" s="256"/>
      <c r="K387" s="37"/>
      <c r="L387" s="193"/>
      <c r="M387" s="193"/>
      <c r="N387" s="51" t="str">
        <f>IF(AND('331-CT'!$E$7=TH!H514,OR(L387="331",M387="331")),"331",IF(AND(OR(L387="131",M387="131"),H387='131-CT'!$E$7),"131",""))</f>
        <v/>
      </c>
      <c r="O387" s="891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IF(OR(TH!L514=TH!$W$7,M387=TH!$W$7),"x","")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IF(AND(OR(LEFT(TH!L514,2)="15",LEFT(TH!M514,2)="15"),'152-CT'!$J$8=TH!F514),"x","")</f>
        <v/>
      </c>
      <c r="Z387" s="51" t="str">
        <f>IF(AND(OR(LEFT(TH!L514,2)="15",LEFT(TH!M514,2)="15"),TK!$E$7=TH!F514),"x","")</f>
        <v/>
      </c>
      <c r="AA387" s="51" t="str">
        <f>IF(AND(B387&lt;=NKC!$N$8,B387&gt;=NKC!$M$8),"x","")</f>
        <v/>
      </c>
      <c r="AB387" s="923"/>
      <c r="AC387" s="589"/>
      <c r="AD387" s="589"/>
      <c r="AF387" s="589"/>
      <c r="AG387" s="589"/>
    </row>
    <row r="388" spans="1:33" s="589" customFormat="1" ht="15.75" hidden="1" customHeight="1">
      <c r="A388" s="203" t="str">
        <f>IF(B388&lt;&gt;"",IF(AND(B388&gt;=_TM1,B388&lt;=_TM2,OR(TH!L388="1111",TH!M388="1111")),TH!D388,""),"")</f>
        <v/>
      </c>
      <c r="B388" s="36">
        <f t="shared" si="33"/>
        <v>1</v>
      </c>
      <c r="C388" s="183">
        <f t="shared" si="35"/>
        <v>0</v>
      </c>
      <c r="D388" s="190"/>
      <c r="E388" s="190"/>
      <c r="F388" s="191"/>
      <c r="G388" s="191"/>
      <c r="H388" s="900"/>
      <c r="I388" s="256"/>
      <c r="J388" s="256"/>
      <c r="K388" s="37"/>
      <c r="L388" s="193"/>
      <c r="M388" s="193"/>
      <c r="N388" s="51" t="str">
        <f>IF(AND('331-CT'!$E$7=TH!H515,OR(L388="331",M388="331")),"331",IF(AND(OR(L388="131",M388="131"),H388='131-CT'!$E$7),"131",""))</f>
        <v/>
      </c>
      <c r="O388" s="891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IF(OR(TH!L515=TH!$W$7,M388=TH!$W$7),"x","")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IF(AND(OR(LEFT(TH!L515,2)="15",LEFT(TH!M515,2)="15"),'152-CT'!$J$8=TH!F515),"x","")</f>
        <v/>
      </c>
      <c r="Z388" s="51" t="str">
        <f>IF(AND(OR(LEFT(TH!L515,2)="15",LEFT(TH!M515,2)="15"),TK!$E$7=TH!F515),"x","")</f>
        <v/>
      </c>
      <c r="AA388" s="51" t="str">
        <f>IF(AND(B388&lt;=NKC!$N$8,B388&gt;=NKC!$M$8),"x","")</f>
        <v/>
      </c>
      <c r="AB388" s="923"/>
      <c r="AE388" s="210"/>
    </row>
    <row r="389" spans="1:33" s="589" customFormat="1" ht="15.75" hidden="1" customHeight="1">
      <c r="A389" s="203" t="str">
        <f>IF(B389&lt;&gt;"",IF(AND(B389&gt;=_TM1,B389&lt;=_TM2,OR(TH!L389="1111",TH!M389="1111")),TH!D389,""),"")</f>
        <v/>
      </c>
      <c r="B389" s="36">
        <f t="shared" ref="B389:B452" si="36">IF(C389&lt;&gt;"",MONTH(C389),"")</f>
        <v>1</v>
      </c>
      <c r="C389" s="183">
        <f t="shared" si="35"/>
        <v>0</v>
      </c>
      <c r="D389" s="190"/>
      <c r="E389" s="190"/>
      <c r="F389" s="191"/>
      <c r="G389" s="191"/>
      <c r="H389" s="192"/>
      <c r="I389" s="255"/>
      <c r="J389" s="255"/>
      <c r="K389" s="37"/>
      <c r="L389" s="193"/>
      <c r="M389" s="193"/>
      <c r="N389" s="51" t="str">
        <f>IF(AND('331-CT'!$E$7=TH!H516,OR(L389="331",M389="331")),"331",IF(AND(OR(L389="131",M389="131"),H389='131-CT'!$E$7),"131",""))</f>
        <v/>
      </c>
      <c r="O389" s="891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IF(OR(TH!L516=TH!$W$7,M389=TH!$W$7),"x","")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IF(AND(OR(LEFT(TH!L516,2)="15",LEFT(TH!M516,2)="15"),'152-CT'!$J$8=TH!F516),"x","")</f>
        <v/>
      </c>
      <c r="Z389" s="51" t="str">
        <f>IF(AND(OR(LEFT(TH!L516,2)="15",LEFT(TH!M516,2)="15"),TK!$E$7=TH!F516),"x","")</f>
        <v/>
      </c>
      <c r="AA389" s="51" t="str">
        <f>IF(AND(B389&lt;=NKC!$N$8,B389&gt;=NKC!$M$8),"x","")</f>
        <v/>
      </c>
      <c r="AB389" s="923"/>
      <c r="AD389" s="210"/>
      <c r="AE389" s="210"/>
    </row>
    <row r="390" spans="1:33" s="589" customFormat="1" ht="15.75" hidden="1" customHeight="1">
      <c r="A390" s="203" t="str">
        <f>IF(B390&lt;&gt;"",IF(AND(B390&gt;=_TM1,B390&lt;=_TM2,OR(TH!L390="1111",TH!M390="1111")),TH!D390,""),"")</f>
        <v/>
      </c>
      <c r="B390" s="36">
        <f t="shared" si="36"/>
        <v>1</v>
      </c>
      <c r="C390" s="183">
        <f t="shared" si="35"/>
        <v>0</v>
      </c>
      <c r="D390" s="190"/>
      <c r="E390" s="190"/>
      <c r="F390" s="191"/>
      <c r="G390" s="191"/>
      <c r="H390" s="192"/>
      <c r="I390" s="255"/>
      <c r="J390" s="255"/>
      <c r="K390" s="37"/>
      <c r="L390" s="193"/>
      <c r="M390" s="193"/>
      <c r="N390" s="51" t="str">
        <f>IF(AND('331-CT'!$E$7=TH!H517,OR(L390="331",M390="331")),"331",IF(AND(OR(L390="131",M390="131"),H390='131-CT'!$E$7),"131",""))</f>
        <v/>
      </c>
      <c r="O390" s="891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IF(OR(TH!L517=TH!$W$7,M390=TH!$W$7),"x","")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IF(AND(OR(LEFT(TH!L517,2)="15",LEFT(TH!M517,2)="15"),'152-CT'!$J$8=TH!F517),"x","")</f>
        <v/>
      </c>
      <c r="Z390" s="51" t="str">
        <f>IF(AND(OR(LEFT(TH!L517,2)="15",LEFT(TH!M517,2)="15"),TK!$E$7=TH!F517),"x","")</f>
        <v/>
      </c>
      <c r="AA390" s="51" t="str">
        <f>IF(AND(B390&lt;=NKC!$N$8,B390&gt;=NKC!$M$8),"x","")</f>
        <v/>
      </c>
      <c r="AB390" s="923"/>
      <c r="AE390" s="210"/>
    </row>
    <row r="391" spans="1:33" s="589" customFormat="1" ht="15.75" hidden="1" customHeight="1">
      <c r="A391" s="203" t="str">
        <f>IF(B391&lt;&gt;"",IF(AND(B391&gt;=_TM1,B391&lt;=_TM2,OR(TH!L391="1111",TH!M391="1111")),TH!D391,""),"")</f>
        <v/>
      </c>
      <c r="B391" s="36">
        <f t="shared" si="36"/>
        <v>1</v>
      </c>
      <c r="C391" s="183">
        <f t="shared" si="35"/>
        <v>0</v>
      </c>
      <c r="D391" s="190"/>
      <c r="E391" s="190"/>
      <c r="F391" s="191"/>
      <c r="G391" s="481"/>
      <c r="H391" s="192"/>
      <c r="I391" s="255"/>
      <c r="J391" s="255"/>
      <c r="K391" s="37"/>
      <c r="L391" s="193"/>
      <c r="M391" s="193"/>
      <c r="N391" s="51" t="str">
        <f>IF(AND('331-CT'!$E$7=TH!H518,OR(L391="331",M391="331")),"331",IF(AND(OR(L391="131",M391="131"),H391='131-CT'!$E$7),"131",""))</f>
        <v/>
      </c>
      <c r="O391" s="891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IF(OR(TH!L518=TH!$W$7,M391=TH!$W$7),"x","")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IF(AND(OR(LEFT(TH!L518,2)="15",LEFT(TH!M518,2)="15"),'152-CT'!$J$8=TH!F518),"x","")</f>
        <v/>
      </c>
      <c r="Z391" s="51" t="str">
        <f>IF(AND(OR(LEFT(TH!L518,2)="15",LEFT(TH!M518,2)="15"),TK!$E$7=TH!F518),"x","")</f>
        <v/>
      </c>
      <c r="AA391" s="51" t="str">
        <f>IF(AND(B391&lt;=NKC!$N$8,B391&gt;=NKC!$M$8),"x","")</f>
        <v/>
      </c>
      <c r="AB391" s="923"/>
      <c r="AD391" s="210"/>
      <c r="AE391" s="210"/>
      <c r="AF391" s="210"/>
      <c r="AG391" s="210"/>
    </row>
    <row r="392" spans="1:33" s="589" customFormat="1" ht="15.75" hidden="1" customHeight="1">
      <c r="A392" s="203" t="str">
        <f>IF(B392&lt;&gt;"",IF(AND(B392&gt;=_TM1,B392&lt;=_TM2,OR(TH!L392="1111",TH!M392="1111")),TH!D392,""),"")</f>
        <v/>
      </c>
      <c r="B392" s="36">
        <f t="shared" si="36"/>
        <v>1</v>
      </c>
      <c r="C392" s="183">
        <f t="shared" si="35"/>
        <v>0</v>
      </c>
      <c r="D392" s="190"/>
      <c r="E392" s="190"/>
      <c r="F392" s="191"/>
      <c r="G392" s="191"/>
      <c r="H392" s="192"/>
      <c r="I392" s="255"/>
      <c r="J392" s="255"/>
      <c r="K392" s="37"/>
      <c r="L392" s="193"/>
      <c r="M392" s="193"/>
      <c r="N392" s="51" t="str">
        <f>IF(AND('331-CT'!$E$7=TH!H519,OR(L392="331",M392="331")),"331",IF(AND(OR(L392="131",M392="131"),H392='131-CT'!$E$7),"131",""))</f>
        <v/>
      </c>
      <c r="O392" s="891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IF(OR(TH!L519=TH!$W$7,M392=TH!$W$7),"x","")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IF(AND(OR(LEFT(TH!L519,2)="15",LEFT(TH!M519,2)="15"),'152-CT'!$J$8=TH!F519),"x","")</f>
        <v/>
      </c>
      <c r="Z392" s="51" t="str">
        <f>IF(AND(OR(LEFT(TH!L519,2)="15",LEFT(TH!M519,2)="15"),TK!$E$7=TH!F519),"x","")</f>
        <v/>
      </c>
      <c r="AA392" s="51" t="str">
        <f>IF(AND(B392&lt;=NKC!$N$8,B392&gt;=NKC!$M$8),"x","")</f>
        <v/>
      </c>
      <c r="AB392" s="923"/>
      <c r="AE392" s="210"/>
      <c r="AF392" s="210"/>
      <c r="AG392" s="210"/>
    </row>
    <row r="393" spans="1:33" s="210" customFormat="1" ht="15.75" hidden="1" customHeight="1">
      <c r="A393" s="203" t="str">
        <f>IF(B393&lt;&gt;"",IF(AND(B393&gt;=_TM1,B393&lt;=_TM2,OR(TH!L393="1111",TH!M393="1111")),TH!D393,""),"")</f>
        <v/>
      </c>
      <c r="B393" s="36">
        <f t="shared" si="36"/>
        <v>1</v>
      </c>
      <c r="C393" s="183">
        <f t="shared" si="35"/>
        <v>0</v>
      </c>
      <c r="D393" s="190"/>
      <c r="E393" s="190"/>
      <c r="F393" s="191"/>
      <c r="G393" s="481"/>
      <c r="H393" s="192"/>
      <c r="I393" s="255"/>
      <c r="J393" s="255"/>
      <c r="K393" s="37"/>
      <c r="L393" s="193"/>
      <c r="M393" s="193"/>
      <c r="N393" s="51" t="str">
        <f>IF(AND('331-CT'!$E$7=TH!H520,OR(L393="331",M393="331")),"331",IF(AND(OR(L393="131",M393="131"),H393='131-CT'!$E$7),"131",""))</f>
        <v/>
      </c>
      <c r="O393" s="891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IF(OR(TH!L520=TH!$W$7,M393=TH!$W$7),"x","")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IF(AND(OR(LEFT(TH!L520,2)="15",LEFT(TH!M520,2)="15"),'152-CT'!$J$8=TH!F520),"x","")</f>
        <v/>
      </c>
      <c r="Z393" s="51" t="str">
        <f>IF(AND(OR(LEFT(TH!L520,2)="15",LEFT(TH!M520,2)="15"),TK!$E$7=TH!F520),"x","")</f>
        <v/>
      </c>
      <c r="AA393" s="51" t="str">
        <f>IF(AND(B393&lt;=NKC!$N$8,B393&gt;=NKC!$M$8),"x","")</f>
        <v/>
      </c>
      <c r="AB393" s="923"/>
      <c r="AC393" s="589"/>
      <c r="AD393" s="589"/>
    </row>
    <row r="394" spans="1:33" s="210" customFormat="1" ht="15.75" hidden="1" customHeight="1">
      <c r="A394" s="203" t="str">
        <f>IF(B394&lt;&gt;"",IF(AND(B394&gt;=_TM1,B394&lt;=_TM2,OR(TH!L394="1111",TH!M394="1111")),TH!D394,""),"")</f>
        <v/>
      </c>
      <c r="B394" s="36">
        <f t="shared" si="36"/>
        <v>1</v>
      </c>
      <c r="C394" s="183">
        <f t="shared" si="35"/>
        <v>0</v>
      </c>
      <c r="D394" s="190"/>
      <c r="E394" s="190"/>
      <c r="F394" s="191"/>
      <c r="G394" s="191"/>
      <c r="H394" s="192"/>
      <c r="I394" s="255"/>
      <c r="J394" s="255"/>
      <c r="K394" s="37"/>
      <c r="L394" s="193"/>
      <c r="M394" s="193"/>
      <c r="N394" s="51" t="str">
        <f>IF(AND('331-CT'!$E$7=TH!H521,OR(L394="331",M394="331")),"331",IF(AND(OR(L394="131",M394="131"),H394='131-CT'!$E$7),"131",""))</f>
        <v/>
      </c>
      <c r="O394" s="891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IF(OR(TH!L521=TH!$W$7,M394=TH!$W$7),"x","")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IF(AND(OR(LEFT(TH!L521,2)="15",LEFT(TH!M521,2)="15"),'152-CT'!$J$8=TH!F521),"x","")</f>
        <v/>
      </c>
      <c r="Z394" s="51" t="str">
        <f>IF(AND(OR(LEFT(TH!L521,2)="15",LEFT(TH!M521,2)="15"),TK!$E$7=TH!F521),"x","")</f>
        <v/>
      </c>
      <c r="AA394" s="51" t="str">
        <f>IF(AND(B394&lt;=NKC!$N$8,B394&gt;=NKC!$M$8),"x","")</f>
        <v/>
      </c>
      <c r="AB394" s="923"/>
      <c r="AC394" s="589"/>
      <c r="AD394" s="589"/>
    </row>
    <row r="395" spans="1:33" s="210" customFormat="1" ht="15.75" hidden="1" customHeight="1">
      <c r="A395" s="203" t="str">
        <f>IF(B395&lt;&gt;"",IF(AND(B395&gt;=_TM1,B395&lt;=_TM2,OR(TH!L395="1111",TH!M395="1111")),TH!D395,""),"")</f>
        <v/>
      </c>
      <c r="B395" s="36">
        <f t="shared" si="36"/>
        <v>1</v>
      </c>
      <c r="C395" s="183">
        <f t="shared" si="35"/>
        <v>0</v>
      </c>
      <c r="D395" s="190"/>
      <c r="E395" s="190"/>
      <c r="F395" s="191"/>
      <c r="G395" s="481"/>
      <c r="H395" s="192"/>
      <c r="I395" s="255"/>
      <c r="J395" s="255"/>
      <c r="K395" s="37"/>
      <c r="L395" s="193"/>
      <c r="M395" s="193"/>
      <c r="N395" s="51" t="str">
        <f>IF(AND('331-CT'!$E$7=TH!H522,OR(L395="331",M395="331")),"331",IF(AND(OR(L395="131",M395="131"),H395='131-CT'!$E$7),"131",""))</f>
        <v/>
      </c>
      <c r="O395" s="891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IF(OR(TH!L522=TH!$W$7,M395=TH!$W$7),"x","")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IF(AND(OR(LEFT(TH!L522,2)="15",LEFT(TH!M522,2)="15"),'152-CT'!$J$8=TH!F522),"x","")</f>
        <v/>
      </c>
      <c r="Z395" s="51" t="str">
        <f>IF(AND(OR(LEFT(TH!L522,2)="15",LEFT(TH!M522,2)="15"),TK!$E$7=TH!F522),"x","")</f>
        <v/>
      </c>
      <c r="AA395" s="51" t="str">
        <f>IF(AND(B395&lt;=NKC!$N$8,B395&gt;=NKC!$M$8),"x","")</f>
        <v/>
      </c>
      <c r="AB395" s="923"/>
      <c r="AC395" s="589"/>
      <c r="AD395" s="589"/>
    </row>
    <row r="396" spans="1:33" s="210" customFormat="1" ht="15.75" hidden="1" customHeight="1">
      <c r="A396" s="203" t="str">
        <f>IF(B396&lt;&gt;"",IF(AND(B396&gt;=_TM1,B396&lt;=_TM2,OR(TH!L396="1111",TH!M396="1111")),TH!D396,""),"")</f>
        <v/>
      </c>
      <c r="B396" s="36">
        <f t="shared" si="36"/>
        <v>1</v>
      </c>
      <c r="C396" s="183">
        <f t="shared" si="35"/>
        <v>0</v>
      </c>
      <c r="D396" s="190"/>
      <c r="E396" s="190"/>
      <c r="F396" s="191"/>
      <c r="G396" s="191"/>
      <c r="H396" s="192"/>
      <c r="I396" s="255"/>
      <c r="J396" s="255"/>
      <c r="K396" s="37"/>
      <c r="L396" s="193"/>
      <c r="M396" s="193"/>
      <c r="N396" s="51" t="str">
        <f>IF(AND('331-CT'!$E$7=TH!H523,OR(L396="331",M396="331")),"331",IF(AND(OR(L396="131",M396="131"),H396='131-CT'!$E$7),"131",""))</f>
        <v/>
      </c>
      <c r="O396" s="891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IF(OR(TH!L523=TH!$W$7,M396=TH!$W$7),"x","")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IF(AND(OR(LEFT(TH!L523,2)="15",LEFT(TH!M523,2)="15"),'152-CT'!$J$8=TH!F523),"x","")</f>
        <v/>
      </c>
      <c r="Z396" s="51" t="str">
        <f>IF(AND(OR(LEFT(TH!L523,2)="15",LEFT(TH!M523,2)="15"),TK!$E$7=TH!F523),"x","")</f>
        <v/>
      </c>
      <c r="AA396" s="51" t="str">
        <f>IF(AND(B396&lt;=NKC!$N$8,B396&gt;=NKC!$M$8),"x","")</f>
        <v/>
      </c>
      <c r="AB396" s="923"/>
      <c r="AC396" s="589"/>
      <c r="AD396" s="589"/>
    </row>
    <row r="397" spans="1:33" s="589" customFormat="1" ht="15.75" hidden="1" customHeight="1">
      <c r="A397" s="203" t="str">
        <f>IF(B397&lt;&gt;"",IF(AND(B397&gt;=_TM1,B397&lt;=_TM2,OR(TH!L397="1111",TH!M397="1111")),TH!D397,""),"")</f>
        <v/>
      </c>
      <c r="B397" s="36">
        <f t="shared" si="36"/>
        <v>1</v>
      </c>
      <c r="C397" s="183">
        <f t="shared" si="35"/>
        <v>0</v>
      </c>
      <c r="D397" s="190"/>
      <c r="E397" s="190"/>
      <c r="F397" s="191"/>
      <c r="G397" s="481"/>
      <c r="H397" s="192"/>
      <c r="I397" s="255"/>
      <c r="J397" s="255"/>
      <c r="K397" s="37"/>
      <c r="L397" s="193"/>
      <c r="M397" s="193"/>
      <c r="N397" s="51" t="str">
        <f>IF(AND('331-CT'!$E$7=TH!H524,OR(L397="331",M397="331")),"331",IF(AND(OR(L397="131",M397="131"),H397='131-CT'!$E$7),"131",""))</f>
        <v/>
      </c>
      <c r="O397" s="891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IF(OR(TH!L524=TH!$W$7,M397=TH!$W$7),"x","")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IF(AND(OR(LEFT(TH!L524,2)="15",LEFT(TH!M524,2)="15"),'152-CT'!$J$8=TH!F524),"x","")</f>
        <v/>
      </c>
      <c r="Z397" s="51" t="str">
        <f>IF(AND(OR(LEFT(TH!L524,2)="15",LEFT(TH!M524,2)="15"),TK!$E$7=TH!F524),"x","")</f>
        <v/>
      </c>
      <c r="AA397" s="51" t="str">
        <f>IF(AND(B397&lt;=NKC!$N$8,B397&gt;=NKC!$M$8),"x","")</f>
        <v/>
      </c>
      <c r="AB397" s="923"/>
      <c r="AF397" s="210"/>
      <c r="AG397" s="210"/>
    </row>
    <row r="398" spans="1:33" s="589" customFormat="1" ht="15.75" hidden="1" customHeight="1">
      <c r="A398" s="203" t="str">
        <f>IF(B398&lt;&gt;"",IF(AND(B398&gt;=_TM1,B398&lt;=_TM2,OR(TH!L398="1111",TH!M398="1111")),TH!D398,""),"")</f>
        <v/>
      </c>
      <c r="B398" s="36">
        <f t="shared" si="36"/>
        <v>1</v>
      </c>
      <c r="C398" s="183">
        <f t="shared" si="35"/>
        <v>0</v>
      </c>
      <c r="D398" s="190"/>
      <c r="E398" s="190"/>
      <c r="F398" s="191"/>
      <c r="G398" s="191"/>
      <c r="H398" s="209"/>
      <c r="I398" s="256"/>
      <c r="J398" s="256"/>
      <c r="K398" s="37"/>
      <c r="L398" s="193"/>
      <c r="M398" s="193"/>
      <c r="N398" s="51" t="str">
        <f>IF(AND('331-CT'!$E$7=TH!H525,OR(L398="331",M398="331")),"331",IF(AND(OR(L398="131",M398="131"),H398='131-CT'!$E$7),"131",""))</f>
        <v/>
      </c>
      <c r="O398" s="891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IF(OR(TH!L525=TH!$W$7,M398=TH!$W$7),"x","")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IF(AND(OR(LEFT(TH!L525,2)="15",LEFT(TH!M525,2)="15"),'152-CT'!$J$8=TH!F525),"x","")</f>
        <v/>
      </c>
      <c r="Z398" s="51" t="str">
        <f>IF(AND(OR(LEFT(TH!L525,2)="15",LEFT(TH!M525,2)="15"),TK!$E$7=TH!F525),"x","")</f>
        <v/>
      </c>
      <c r="AA398" s="51" t="str">
        <f>IF(AND(B398&lt;=NKC!$N$8,B398&gt;=NKC!$M$8),"x","")</f>
        <v/>
      </c>
      <c r="AB398" s="923"/>
      <c r="AF398" s="210"/>
      <c r="AG398" s="210"/>
    </row>
    <row r="399" spans="1:33" s="589" customFormat="1" ht="15.75" hidden="1" customHeight="1">
      <c r="A399" s="203" t="str">
        <f>IF(B399&lt;&gt;"",IF(AND(B399&gt;=_TM1,B399&lt;=_TM2,OR(TH!L399="1111",TH!M399="1111")),TH!D399,""),"")</f>
        <v/>
      </c>
      <c r="B399" s="36">
        <f t="shared" si="36"/>
        <v>1</v>
      </c>
      <c r="C399" s="183">
        <f t="shared" si="35"/>
        <v>0</v>
      </c>
      <c r="D399" s="190"/>
      <c r="E399" s="190"/>
      <c r="F399" s="191"/>
      <c r="G399" s="191"/>
      <c r="H399" s="209"/>
      <c r="I399" s="255"/>
      <c r="J399" s="255"/>
      <c r="K399" s="37"/>
      <c r="L399" s="193"/>
      <c r="M399" s="193"/>
      <c r="N399" s="51" t="str">
        <f>IF(AND('331-CT'!$E$7=TH!H526,OR(L399="331",M399="331")),"331",IF(AND(OR(L399="131",M399="131"),H399='131-CT'!$E$7),"131",""))</f>
        <v/>
      </c>
      <c r="O399" s="891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IF(OR(TH!L526=TH!$W$7,M399=TH!$W$7),"x","")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IF(AND(OR(LEFT(TH!L526,2)="15",LEFT(TH!M526,2)="15"),'152-CT'!$J$8=TH!F526),"x","")</f>
        <v/>
      </c>
      <c r="Z399" s="51" t="str">
        <f>IF(AND(OR(LEFT(TH!L526,2)="15",LEFT(TH!M526,2)="15"),TK!$E$7=TH!F526),"x","")</f>
        <v/>
      </c>
      <c r="AA399" s="51" t="str">
        <f>IF(AND(B399&lt;=NKC!$N$8,B399&gt;=NKC!$M$8),"x","")</f>
        <v/>
      </c>
      <c r="AB399" s="923"/>
      <c r="AF399" s="210"/>
      <c r="AG399" s="210"/>
    </row>
    <row r="400" spans="1:33" s="589" customFormat="1" ht="15.75" hidden="1" customHeight="1">
      <c r="A400" s="203" t="str">
        <f>IF(B400&lt;&gt;"",IF(AND(B400&gt;=_TM1,B400&lt;=_TM2,OR(TH!L400="1111",TH!M400="1111")),TH!D400,""),"")</f>
        <v/>
      </c>
      <c r="B400" s="36">
        <f t="shared" si="36"/>
        <v>1</v>
      </c>
      <c r="C400" s="183">
        <f t="shared" si="35"/>
        <v>0</v>
      </c>
      <c r="D400" s="190"/>
      <c r="E400" s="190"/>
      <c r="F400" s="191"/>
      <c r="G400" s="191"/>
      <c r="H400" s="209"/>
      <c r="I400" s="255"/>
      <c r="J400" s="255"/>
      <c r="K400" s="37"/>
      <c r="L400" s="193"/>
      <c r="M400" s="193"/>
      <c r="N400" s="51" t="str">
        <f>IF(AND('331-CT'!$E$7=TH!H527,OR(L400="331",M400="331")),"331",IF(AND(OR(L400="131",M400="131"),H400='131-CT'!$E$7),"131",""))</f>
        <v/>
      </c>
      <c r="O400" s="891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IF(OR(TH!L527=TH!$W$7,M400=TH!$W$7),"x","")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IF(AND(OR(LEFT(TH!L527,2)="15",LEFT(TH!M527,2)="15"),'152-CT'!$J$8=TH!F527),"x","")</f>
        <v/>
      </c>
      <c r="Z400" s="51" t="str">
        <f>IF(AND(OR(LEFT(TH!L527,2)="15",LEFT(TH!M527,2)="15"),TK!$E$7=TH!F527),"x","")</f>
        <v/>
      </c>
      <c r="AA400" s="51" t="str">
        <f>IF(AND(B400&lt;=NKC!$N$8,B400&gt;=NKC!$M$8),"x","")</f>
        <v/>
      </c>
      <c r="AB400" s="923"/>
      <c r="AE400" s="210"/>
      <c r="AF400" s="210"/>
      <c r="AG400" s="210"/>
    </row>
    <row r="401" spans="1:33" s="589" customFormat="1" ht="15.75" hidden="1" customHeight="1">
      <c r="A401" s="203" t="str">
        <f>IF(B401&lt;&gt;"",IF(AND(B401&gt;=_TM1,B401&lt;=_TM2,OR(TH!L401="1111",TH!M401="1111")),TH!D401,""),"")</f>
        <v/>
      </c>
      <c r="B401" s="36">
        <f t="shared" si="36"/>
        <v>1</v>
      </c>
      <c r="C401" s="183">
        <f t="shared" si="35"/>
        <v>0</v>
      </c>
      <c r="D401" s="190"/>
      <c r="E401" s="190"/>
      <c r="F401" s="191"/>
      <c r="G401" s="191"/>
      <c r="H401" s="209"/>
      <c r="I401" s="256"/>
      <c r="J401" s="256"/>
      <c r="K401" s="37"/>
      <c r="L401" s="193"/>
      <c r="M401" s="193"/>
      <c r="N401" s="51" t="str">
        <f>IF(AND('331-CT'!$E$7=TH!H528,OR(L401="331",M401="331")),"331",IF(AND(OR(L401="131",M401="131"),H401='131-CT'!$E$7),"131",""))</f>
        <v/>
      </c>
      <c r="O401" s="891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IF(OR(TH!L528=TH!$W$7,M401=TH!$W$7),"x","")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IF(AND(OR(LEFT(TH!L528,2)="15",LEFT(TH!M528,2)="15"),'152-CT'!$J$8=TH!F528),"x","")</f>
        <v/>
      </c>
      <c r="Z401" s="51" t="str">
        <f>IF(AND(OR(LEFT(TH!L528,2)="15",LEFT(TH!M528,2)="15"),TK!$E$7=TH!F528),"x","")</f>
        <v/>
      </c>
      <c r="AA401" s="51" t="str">
        <f>IF(AND(B401&lt;=NKC!$N$8,B401&gt;=NKC!$M$8),"x","")</f>
        <v/>
      </c>
      <c r="AB401" s="923"/>
      <c r="AE401" s="210"/>
      <c r="AF401" s="210"/>
      <c r="AG401" s="210"/>
    </row>
    <row r="402" spans="1:33" s="589" customFormat="1" ht="15.75" hidden="1" customHeight="1">
      <c r="A402" s="203" t="str">
        <f>IF(B402&lt;&gt;"",IF(AND(B402&gt;=_TM1,B402&lt;=_TM2,OR(TH!L402="1111",TH!M402="1111")),TH!D402,""),"")</f>
        <v/>
      </c>
      <c r="B402" s="36">
        <f t="shared" si="36"/>
        <v>1</v>
      </c>
      <c r="C402" s="183">
        <f t="shared" si="35"/>
        <v>0</v>
      </c>
      <c r="D402" s="190"/>
      <c r="E402" s="190"/>
      <c r="F402" s="191"/>
      <c r="G402" s="191"/>
      <c r="H402" s="209"/>
      <c r="I402" s="255"/>
      <c r="J402" s="255"/>
      <c r="K402" s="37"/>
      <c r="L402" s="193"/>
      <c r="M402" s="193"/>
      <c r="N402" s="51" t="str">
        <f>IF(AND('331-CT'!$E$7=TH!H529,OR(L402="331",M402="331")),"331",IF(AND(OR(L402="131",M402="131"),H402='131-CT'!$E$7),"131",""))</f>
        <v/>
      </c>
      <c r="O402" s="891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IF(OR(TH!L529=TH!$W$7,M402=TH!$W$7),"x","")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IF(AND(OR(LEFT(TH!L529,2)="15",LEFT(TH!M529,2)="15"),'152-CT'!$J$8=TH!F529),"x","")</f>
        <v/>
      </c>
      <c r="Z402" s="51" t="str">
        <f>IF(AND(OR(LEFT(TH!L529,2)="15",LEFT(TH!M529,2)="15"),TK!$E$7=TH!F529),"x","")</f>
        <v/>
      </c>
      <c r="AA402" s="51" t="str">
        <f>IF(AND(B402&lt;=NKC!$N$8,B402&gt;=NKC!$M$8),"x","")</f>
        <v/>
      </c>
      <c r="AB402" s="923"/>
      <c r="AD402" s="210"/>
      <c r="AE402" s="210"/>
      <c r="AF402" s="210"/>
      <c r="AG402" s="210"/>
    </row>
    <row r="403" spans="1:33" s="589" customFormat="1" ht="15.75" hidden="1" customHeight="1">
      <c r="A403" s="203" t="str">
        <f>IF(B403&lt;&gt;"",IF(AND(B403&gt;=_TM1,B403&lt;=_TM2,OR(TH!L403="1111",TH!M403="1111")),TH!D403,""),"")</f>
        <v/>
      </c>
      <c r="B403" s="36">
        <f t="shared" si="36"/>
        <v>1</v>
      </c>
      <c r="C403" s="183">
        <f t="shared" si="35"/>
        <v>0</v>
      </c>
      <c r="D403" s="190"/>
      <c r="E403" s="190"/>
      <c r="F403" s="191"/>
      <c r="G403" s="191"/>
      <c r="H403" s="209"/>
      <c r="I403" s="255"/>
      <c r="J403" s="255"/>
      <c r="K403" s="37"/>
      <c r="L403" s="193"/>
      <c r="M403" s="193"/>
      <c r="N403" s="51" t="str">
        <f>IF(AND('331-CT'!$E$7=TH!H530,OR(L403="331",M403="331")),"331",IF(AND(OR(L403="131",M403="131"),H403='131-CT'!$E$7),"131",""))</f>
        <v/>
      </c>
      <c r="O403" s="891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IF(OR(TH!L530=TH!$W$7,M403=TH!$W$7),"x","")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IF(AND(OR(LEFT(TH!L530,2)="15",LEFT(TH!M530,2)="15"),'152-CT'!$J$8=TH!F530),"x","")</f>
        <v/>
      </c>
      <c r="Z403" s="51" t="str">
        <f>IF(AND(OR(LEFT(TH!L530,2)="15",LEFT(TH!M530,2)="15"),TK!$E$7=TH!F530),"x","")</f>
        <v/>
      </c>
      <c r="AA403" s="51" t="str">
        <f>IF(AND(B403&lt;=NKC!$N$8,B403&gt;=NKC!$M$8),"x","")</f>
        <v/>
      </c>
      <c r="AB403" s="923"/>
      <c r="AE403" s="210"/>
      <c r="AF403" s="210"/>
      <c r="AG403" s="210"/>
    </row>
    <row r="404" spans="1:33" s="589" customFormat="1" ht="15.75" hidden="1" customHeight="1">
      <c r="A404" s="203" t="str">
        <f>IF(B404&lt;&gt;"",IF(AND(B404&gt;=_TM1,B404&lt;=_TM2,OR(TH!L404="1111",TH!M404="1111")),TH!D404,""),"")</f>
        <v/>
      </c>
      <c r="B404" s="36">
        <f t="shared" si="36"/>
        <v>1</v>
      </c>
      <c r="C404" s="183">
        <f t="shared" si="35"/>
        <v>0</v>
      </c>
      <c r="D404" s="190"/>
      <c r="E404" s="190"/>
      <c r="F404" s="191"/>
      <c r="G404" s="191"/>
      <c r="H404" s="209"/>
      <c r="I404" s="255"/>
      <c r="J404" s="255"/>
      <c r="K404" s="37"/>
      <c r="L404" s="193"/>
      <c r="M404" s="193"/>
      <c r="N404" s="51" t="str">
        <f>IF(AND('331-CT'!$E$7=TH!H531,OR(L404="331",M404="331")),"331",IF(AND(OR(L404="131",M404="131"),H404='131-CT'!$E$7),"131",""))</f>
        <v/>
      </c>
      <c r="O404" s="891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IF(OR(TH!L531=TH!$W$7,M404=TH!$W$7),"x","")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IF(AND(OR(LEFT(TH!L531,2)="15",LEFT(TH!M531,2)="15"),'152-CT'!$J$8=TH!F531),"x","")</f>
        <v/>
      </c>
      <c r="Z404" s="51" t="str">
        <f>IF(AND(OR(LEFT(TH!L531,2)="15",LEFT(TH!M531,2)="15"),TK!$E$7=TH!F531),"x","")</f>
        <v/>
      </c>
      <c r="AA404" s="51" t="str">
        <f>IF(AND(B404&lt;=NKC!$N$8,B404&gt;=NKC!$M$8),"x","")</f>
        <v/>
      </c>
      <c r="AB404" s="923"/>
      <c r="AD404" s="210"/>
      <c r="AE404" s="210"/>
      <c r="AF404" s="210"/>
      <c r="AG404" s="210"/>
    </row>
    <row r="405" spans="1:33" s="589" customFormat="1" ht="15.75" hidden="1" customHeight="1">
      <c r="A405" s="203" t="str">
        <f>IF(B405&lt;&gt;"",IF(AND(B405&gt;=_TM1,B405&lt;=_TM2,OR(TH!L405="1111",TH!M405="1111")),TH!D405,""),"")</f>
        <v/>
      </c>
      <c r="B405" s="36">
        <f t="shared" si="36"/>
        <v>1</v>
      </c>
      <c r="C405" s="183">
        <f t="shared" si="35"/>
        <v>0</v>
      </c>
      <c r="D405" s="190"/>
      <c r="E405" s="190"/>
      <c r="F405" s="191"/>
      <c r="G405" s="191"/>
      <c r="H405" s="209"/>
      <c r="I405" s="255"/>
      <c r="J405" s="255"/>
      <c r="K405" s="37"/>
      <c r="L405" s="193"/>
      <c r="M405" s="193"/>
      <c r="N405" s="51" t="str">
        <f>IF(AND('331-CT'!$E$7=TH!H532,OR(L405="331",M405="331")),"331",IF(AND(OR(L405="131",M405="131"),H405='131-CT'!$E$7),"131",""))</f>
        <v/>
      </c>
      <c r="O405" s="891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IF(OR(TH!L532=TH!$W$7,M405=TH!$W$7),"x","")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IF(AND(OR(LEFT(TH!L532,2)="15",LEFT(TH!M532,2)="15"),'152-CT'!$J$8=TH!F532),"x","")</f>
        <v/>
      </c>
      <c r="Z405" s="51" t="str">
        <f>IF(AND(OR(LEFT(TH!L532,2)="15",LEFT(TH!M532,2)="15"),TK!$E$7=TH!F532),"x","")</f>
        <v/>
      </c>
      <c r="AA405" s="51" t="str">
        <f>IF(AND(B405&lt;=NKC!$N$8,B405&gt;=NKC!$M$8),"x","")</f>
        <v/>
      </c>
      <c r="AB405" s="923"/>
      <c r="AE405" s="210"/>
      <c r="AF405" s="210"/>
      <c r="AG405" s="210"/>
    </row>
    <row r="406" spans="1:33" s="589" customFormat="1" ht="15.75" hidden="1" customHeight="1">
      <c r="A406" s="203" t="str">
        <f>IF(B406&lt;&gt;"",IF(AND(B406&gt;=_TM1,B406&lt;=_TM2,OR(TH!L406="1111",TH!M406="1111")),TH!D406,""),"")</f>
        <v/>
      </c>
      <c r="B406" s="36">
        <f t="shared" si="36"/>
        <v>1</v>
      </c>
      <c r="C406" s="183">
        <f t="shared" si="35"/>
        <v>0</v>
      </c>
      <c r="D406" s="190"/>
      <c r="E406" s="190"/>
      <c r="F406" s="191"/>
      <c r="G406" s="191"/>
      <c r="H406" s="192"/>
      <c r="I406" s="255"/>
      <c r="J406" s="255"/>
      <c r="K406" s="37"/>
      <c r="L406" s="193"/>
      <c r="M406" s="193"/>
      <c r="N406" s="51" t="str">
        <f>IF(AND('331-CT'!$E$7=TH!H533,OR(L406="331",M406="331")),"331",IF(AND(OR(L406="131",M406="131"),H406='131-CT'!$E$7),"131",""))</f>
        <v/>
      </c>
      <c r="O406" s="891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IF(OR(TH!L533=TH!$W$7,M406=TH!$W$7),"x","")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IF(AND(OR(LEFT(TH!L533,2)="15",LEFT(TH!M533,2)="15"),'152-CT'!$J$8=TH!F533),"x","")</f>
        <v/>
      </c>
      <c r="Z406" s="51" t="str">
        <f>IF(AND(OR(LEFT(TH!L533,2)="15",LEFT(TH!M533,2)="15"),TK!$E$7=TH!F533),"x","")</f>
        <v/>
      </c>
      <c r="AA406" s="51" t="str">
        <f>IF(AND(B406&lt;=NKC!$N$8,B406&gt;=NKC!$M$8),"x","")</f>
        <v/>
      </c>
      <c r="AB406" s="923"/>
      <c r="AE406" s="210"/>
      <c r="AF406" s="210"/>
      <c r="AG406" s="210"/>
    </row>
    <row r="407" spans="1:33" s="589" customFormat="1" ht="15.75" hidden="1" customHeight="1">
      <c r="A407" s="203" t="str">
        <f>IF(B407&lt;&gt;"",IF(AND(B407&gt;=_TM1,B407&lt;=_TM2,OR(TH!L407="1111",TH!M407="1111")),TH!D407,""),"")</f>
        <v/>
      </c>
      <c r="B407" s="36">
        <f t="shared" si="36"/>
        <v>1</v>
      </c>
      <c r="C407" s="183">
        <f t="shared" si="35"/>
        <v>0</v>
      </c>
      <c r="D407" s="190"/>
      <c r="E407" s="190"/>
      <c r="F407" s="191"/>
      <c r="G407" s="191"/>
      <c r="H407" s="192"/>
      <c r="I407" s="255"/>
      <c r="J407" s="255"/>
      <c r="K407" s="37"/>
      <c r="L407" s="193"/>
      <c r="M407" s="193"/>
      <c r="N407" s="51" t="str">
        <f>IF(AND('331-CT'!$E$7=TH!H534,OR(L407="331",M407="331")),"331",IF(AND(OR(L407="131",M407="131"),H407='131-CT'!$E$7),"131",""))</f>
        <v/>
      </c>
      <c r="O407" s="891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IF(OR(TH!L534=TH!$W$7,M407=TH!$W$7),"x","")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IF(AND(OR(LEFT(TH!L534,2)="15",LEFT(TH!M534,2)="15"),'152-CT'!$J$8=TH!F534),"x","")</f>
        <v/>
      </c>
      <c r="Z407" s="51" t="str">
        <f>IF(AND(OR(LEFT(TH!L534,2)="15",LEFT(TH!M534,2)="15"),TK!$E$7=TH!F534),"x","")</f>
        <v/>
      </c>
      <c r="AA407" s="51" t="str">
        <f>IF(AND(B407&lt;=NKC!$N$8,B407&gt;=NKC!$M$8),"x","")</f>
        <v/>
      </c>
      <c r="AB407" s="923"/>
      <c r="AE407" s="210"/>
      <c r="AF407" s="210"/>
      <c r="AG407" s="210"/>
    </row>
    <row r="408" spans="1:33" s="861" customFormat="1" ht="15.75" hidden="1" customHeight="1">
      <c r="A408" s="203" t="str">
        <f>IF(B408&lt;&gt;"",IF(AND(B408&gt;=_TM1,B408&lt;=_TM2,OR(TH!L408="1111",TH!M408="1111")),TH!D408,""),"")</f>
        <v/>
      </c>
      <c r="B408" s="36">
        <f t="shared" si="36"/>
        <v>1</v>
      </c>
      <c r="C408" s="183">
        <f t="shared" si="35"/>
        <v>0</v>
      </c>
      <c r="D408" s="190"/>
      <c r="E408" s="190"/>
      <c r="F408" s="191"/>
      <c r="G408" s="191"/>
      <c r="H408" s="192"/>
      <c r="I408" s="255"/>
      <c r="J408" s="255"/>
      <c r="K408" s="37"/>
      <c r="L408" s="193"/>
      <c r="M408" s="193"/>
      <c r="N408" s="51" t="str">
        <f>IF(AND('331-CT'!$E$7=TH!H535,OR(L408="331",M408="331")),"331",IF(AND(OR(L408="131",M408="131"),H408='131-CT'!$E$7),"131",""))</f>
        <v/>
      </c>
      <c r="O408" s="891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IF(OR(TH!L535=TH!$W$7,M408=TH!$W$7),"x","")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IF(AND(OR(LEFT(TH!L535,2)="15",LEFT(TH!M535,2)="15"),'152-CT'!$J$8=TH!F535),"x","")</f>
        <v/>
      </c>
      <c r="Z408" s="51" t="str">
        <f>IF(AND(OR(LEFT(TH!L535,2)="15",LEFT(TH!M535,2)="15"),TK!$E$7=TH!F535),"x","")</f>
        <v/>
      </c>
      <c r="AA408" s="51" t="str">
        <f>IF(AND(B408&lt;=NKC!$N$8,B408&gt;=NKC!$M$8),"x","")</f>
        <v/>
      </c>
      <c r="AB408" s="923"/>
      <c r="AC408" s="589"/>
      <c r="AD408" s="589"/>
      <c r="AE408" s="210"/>
      <c r="AF408" s="210"/>
      <c r="AG408" s="210"/>
    </row>
    <row r="409" spans="1:33" s="589" customFormat="1" ht="15.75" hidden="1" customHeight="1">
      <c r="A409" s="203" t="str">
        <f>IF(B409&lt;&gt;"",IF(AND(B409&gt;=_TM1,B409&lt;=_TM2,OR(TH!L409="1111",TH!M409="1111")),TH!D409,""),"")</f>
        <v/>
      </c>
      <c r="B409" s="36">
        <f t="shared" si="36"/>
        <v>1</v>
      </c>
      <c r="C409" s="183">
        <f t="shared" si="35"/>
        <v>0</v>
      </c>
      <c r="D409" s="190"/>
      <c r="E409" s="190"/>
      <c r="F409" s="191"/>
      <c r="G409" s="191"/>
      <c r="H409" s="901"/>
      <c r="I409" s="255"/>
      <c r="J409" s="255"/>
      <c r="K409" s="37"/>
      <c r="L409" s="193"/>
      <c r="M409" s="193"/>
      <c r="N409" s="51" t="e">
        <f>IF(AND('331-CT'!$E$7=TH!#REF!,OR(L409="331",M409="331")),"331",IF(AND(OR(L409="131",M409="131"),H409='131-CT'!$E$7),"131",""))</f>
        <v>#REF!</v>
      </c>
      <c r="O409" s="891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e">
        <f>IF(OR(TH!#REF!=TH!$W$7,M409=TH!$W$7),"x","")</f>
        <v>#REF!</v>
      </c>
      <c r="X409" s="51" t="str">
        <f>IF(AND(B409&gt;='IN-NX'!$P$3,B409&lt;='IN-NX'!$Q$3,'IN-NX'!$D$7=D409,OR(LEFT(L409,2)="15",AND(LEFT(M409,2)&lt;&gt;"15",LEFT(M409,2)&lt;&gt;"33"))),"x","")</f>
        <v/>
      </c>
      <c r="Y409" s="51" t="e">
        <f>IF(AND(OR(LEFT(TH!#REF!,2)="15",LEFT(TH!#REF!,2)="15"),'152-CT'!$J$8=TH!#REF!),"x","")</f>
        <v>#REF!</v>
      </c>
      <c r="Z409" s="51" t="e">
        <f>IF(AND(OR(LEFT(TH!#REF!,2)="15",LEFT(TH!#REF!,2)="15"),TK!$E$7=TH!#REF!),"x","")</f>
        <v>#REF!</v>
      </c>
      <c r="AA409" s="51" t="str">
        <f>IF(AND(B409&lt;=NKC!$N$8,B409&gt;=NKC!$M$8),"x","")</f>
        <v/>
      </c>
      <c r="AB409" s="923"/>
      <c r="AD409" s="210"/>
      <c r="AE409" s="210"/>
      <c r="AF409" s="210"/>
      <c r="AG409" s="210"/>
    </row>
    <row r="410" spans="1:33" s="589" customFormat="1" ht="15.75" hidden="1" customHeight="1">
      <c r="A410" s="203" t="str">
        <f>IF(B410&lt;&gt;"",IF(AND(B410&gt;=_TM1,B410&lt;=_TM2,OR(TH!L410="1111",TH!M410="1111")),TH!D410,""),"")</f>
        <v/>
      </c>
      <c r="B410" s="36">
        <f t="shared" si="36"/>
        <v>1</v>
      </c>
      <c r="C410" s="183">
        <f t="shared" si="35"/>
        <v>0</v>
      </c>
      <c r="D410" s="190"/>
      <c r="E410" s="190"/>
      <c r="F410" s="191"/>
      <c r="G410" s="191"/>
      <c r="H410" s="901"/>
      <c r="I410" s="255"/>
      <c r="J410" s="255"/>
      <c r="K410" s="37"/>
      <c r="L410" s="193"/>
      <c r="M410" s="193"/>
      <c r="N410" s="51" t="str">
        <f>IF(AND('331-CT'!$E$7=TH!H536,OR(L410="331",M410="331")),"331",IF(AND(OR(L410="131",M410="131"),H410='131-CT'!$E$7),"131",""))</f>
        <v/>
      </c>
      <c r="O410" s="891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IF(OR(TH!L536=TH!$W$7,M410=TH!$W$7),"x","")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IF(AND(OR(LEFT(TH!L536,2)="15",LEFT(TH!M536,2)="15"),'152-CT'!$J$8=TH!F536),"x","")</f>
        <v/>
      </c>
      <c r="Z410" s="51" t="str">
        <f>IF(AND(OR(LEFT(TH!L536,2)="15",LEFT(TH!M536,2)="15"),TK!$E$7=TH!F536),"x","")</f>
        <v/>
      </c>
      <c r="AA410" s="51" t="str">
        <f>IF(AND(B410&lt;=NKC!$N$8,B410&gt;=NKC!$M$8),"x","")</f>
        <v/>
      </c>
      <c r="AB410" s="923"/>
      <c r="AE410" s="210"/>
      <c r="AF410" s="210"/>
      <c r="AG410" s="210"/>
    </row>
    <row r="411" spans="1:33" s="589" customFormat="1" ht="15.75" hidden="1" customHeight="1">
      <c r="A411" s="203" t="str">
        <f>IF(B411&lt;&gt;"",IF(AND(B411&gt;=_TM1,B411&lt;=_TM2,OR(TH!L411="1111",TH!M411="1111")),TH!D411,""),"")</f>
        <v/>
      </c>
      <c r="B411" s="36">
        <f t="shared" si="36"/>
        <v>1</v>
      </c>
      <c r="C411" s="183">
        <f t="shared" si="35"/>
        <v>0</v>
      </c>
      <c r="D411" s="190"/>
      <c r="E411" s="190"/>
      <c r="F411" s="191"/>
      <c r="G411" s="191"/>
      <c r="H411" s="901"/>
      <c r="I411" s="255"/>
      <c r="J411" s="255"/>
      <c r="K411" s="37"/>
      <c r="L411" s="193"/>
      <c r="M411" s="193"/>
      <c r="N411" s="51" t="str">
        <f>IF(AND('331-CT'!$E$7=TH!H537,OR(L411="331",M411="331")),"331",IF(AND(OR(L411="131",M411="131"),H411='131-CT'!$E$7),"131",""))</f>
        <v/>
      </c>
      <c r="O411" s="891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IF(OR(TH!L537=TH!$W$7,M411=TH!$W$7),"x","")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IF(AND(OR(LEFT(TH!L537,2)="15",LEFT(TH!M537,2)="15"),'152-CT'!$J$8=TH!F537),"x","")</f>
        <v/>
      </c>
      <c r="Z411" s="51" t="str">
        <f>IF(AND(OR(LEFT(TH!L537,2)="15",LEFT(TH!M537,2)="15"),TK!$E$7=TH!F537),"x","")</f>
        <v/>
      </c>
      <c r="AA411" s="51" t="str">
        <f>IF(AND(B411&lt;=NKC!$N$8,B411&gt;=NKC!$M$8),"x","")</f>
        <v/>
      </c>
      <c r="AB411" s="923"/>
      <c r="AE411" s="210"/>
      <c r="AF411" s="210"/>
      <c r="AG411" s="210"/>
    </row>
    <row r="412" spans="1:33" s="589" customFormat="1" ht="15.75" hidden="1" customHeight="1">
      <c r="A412" s="203" t="str">
        <f>IF(B412&lt;&gt;"",IF(AND(B412&gt;=_TM1,B412&lt;=_TM2,OR(TH!L412="1111",TH!M412="1111")),TH!D412,""),"")</f>
        <v/>
      </c>
      <c r="B412" s="36">
        <f t="shared" si="36"/>
        <v>1</v>
      </c>
      <c r="C412" s="183">
        <f t="shared" si="35"/>
        <v>0</v>
      </c>
      <c r="D412" s="190"/>
      <c r="E412" s="190"/>
      <c r="F412" s="191"/>
      <c r="G412" s="191"/>
      <c r="H412" s="191"/>
      <c r="I412" s="255"/>
      <c r="J412" s="255"/>
      <c r="K412" s="37"/>
      <c r="L412" s="193"/>
      <c r="M412" s="193"/>
      <c r="N412" s="51" t="str">
        <f>IF(AND('331-CT'!$E$7=TH!H538,OR(L412="331",M412="331")),"331",IF(AND(OR(L412="131",M412="131"),H412='131-CT'!$E$7),"131",""))</f>
        <v/>
      </c>
      <c r="O412" s="891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IF(OR(TH!L538=TH!$W$7,M412=TH!$W$7),"x","")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IF(AND(OR(LEFT(TH!L538,2)="15",LEFT(TH!M538,2)="15"),'152-CT'!$J$8=TH!F538),"x","")</f>
        <v/>
      </c>
      <c r="Z412" s="51" t="str">
        <f>IF(AND(OR(LEFT(TH!L538,2)="15",LEFT(TH!M538,2)="15"),TK!$E$7=TH!F538),"x","")</f>
        <v/>
      </c>
      <c r="AA412" s="51" t="str">
        <f>IF(AND(B412&lt;=NKC!$N$8,B412&gt;=NKC!$M$8),"x","")</f>
        <v/>
      </c>
      <c r="AB412" s="923"/>
      <c r="AE412" s="210"/>
      <c r="AF412" s="210"/>
      <c r="AG412" s="210"/>
    </row>
    <row r="413" spans="1:33" s="589" customFormat="1" ht="15.75" hidden="1" customHeight="1">
      <c r="A413" s="203" t="str">
        <f>IF(B413&lt;&gt;"",IF(AND(B413&gt;=_TM1,B413&lt;=_TM2,OR(TH!L413="1111",TH!M413="1111")),TH!D413,""),"")</f>
        <v/>
      </c>
      <c r="B413" s="36">
        <f t="shared" si="36"/>
        <v>1</v>
      </c>
      <c r="C413" s="183">
        <f t="shared" si="35"/>
        <v>0</v>
      </c>
      <c r="D413" s="190"/>
      <c r="E413" s="190"/>
      <c r="F413" s="191"/>
      <c r="G413" s="191"/>
      <c r="H413" s="192"/>
      <c r="I413" s="255"/>
      <c r="J413" s="255"/>
      <c r="K413" s="37"/>
      <c r="L413" s="193"/>
      <c r="M413" s="193"/>
      <c r="N413" s="51" t="str">
        <f>IF(AND('331-CT'!$E$7=TH!H539,OR(L413="331",M413="331")),"331",IF(AND(OR(L413="131",M413="131"),H413='131-CT'!$E$7),"131",""))</f>
        <v/>
      </c>
      <c r="O413" s="891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IF(OR(TH!L539=TH!$W$7,M413=TH!$W$7),"x","")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IF(AND(OR(LEFT(TH!L539,2)="15",LEFT(TH!M539,2)="15"),'152-CT'!$J$8=TH!F539),"x","")</f>
        <v/>
      </c>
      <c r="Z413" s="51" t="str">
        <f>IF(AND(OR(LEFT(TH!L539,2)="15",LEFT(TH!M539,2)="15"),TK!$E$7=TH!F539),"x","")</f>
        <v/>
      </c>
      <c r="AA413" s="51" t="str">
        <f>IF(AND(B413&lt;=NKC!$N$8,B413&gt;=NKC!$M$8),"x","")</f>
        <v/>
      </c>
      <c r="AB413" s="923"/>
      <c r="AE413" s="210"/>
      <c r="AF413" s="210"/>
      <c r="AG413" s="210"/>
    </row>
    <row r="414" spans="1:33" s="589" customFormat="1" ht="15.75" hidden="1" customHeight="1">
      <c r="A414" s="203" t="str">
        <f>IF(B414&lt;&gt;"",IF(AND(B414&gt;=_TM1,B414&lt;=_TM2,OR(TH!L414="1111",TH!M414="1111")),TH!D414,""),"")</f>
        <v/>
      </c>
      <c r="B414" s="36">
        <f t="shared" si="36"/>
        <v>1</v>
      </c>
      <c r="C414" s="183">
        <f t="shared" si="35"/>
        <v>0</v>
      </c>
      <c r="D414" s="190"/>
      <c r="E414" s="190"/>
      <c r="F414" s="191"/>
      <c r="G414" s="191"/>
      <c r="H414" s="192"/>
      <c r="I414" s="255"/>
      <c r="J414" s="255"/>
      <c r="K414" s="37"/>
      <c r="L414" s="193"/>
      <c r="M414" s="193"/>
      <c r="N414" s="51" t="str">
        <f>IF(AND('331-CT'!$E$7=TH!H540,OR(L414="331",M414="331")),"331",IF(AND(OR(L414="131",M414="131"),H414='131-CT'!$E$7),"131",""))</f>
        <v/>
      </c>
      <c r="O414" s="891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IF(OR(TH!L540=TH!$W$7,M414=TH!$W$7),"x","")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IF(AND(OR(LEFT(TH!L540,2)="15",LEFT(TH!M540,2)="15"),'152-CT'!$J$8=TH!F540),"x","")</f>
        <v/>
      </c>
      <c r="Z414" s="51" t="str">
        <f>IF(AND(OR(LEFT(TH!L540,2)="15",LEFT(TH!M540,2)="15"),TK!$E$7=TH!F540),"x","")</f>
        <v/>
      </c>
      <c r="AA414" s="51" t="str">
        <f>IF(AND(B414&lt;=NKC!$N$8,B414&gt;=NKC!$M$8),"x","")</f>
        <v/>
      </c>
      <c r="AB414" s="923"/>
      <c r="AE414" s="210"/>
      <c r="AF414" s="210"/>
      <c r="AG414" s="210"/>
    </row>
    <row r="415" spans="1:33" s="589" customFormat="1" ht="15.75" hidden="1" customHeight="1">
      <c r="A415" s="203" t="str">
        <f>IF(B415&lt;&gt;"",IF(AND(B415&gt;=_TM1,B415&lt;=_TM2,OR(TH!L415="1111",TH!M415="1111")),TH!D415,""),"")</f>
        <v/>
      </c>
      <c r="B415" s="36">
        <f t="shared" si="36"/>
        <v>1</v>
      </c>
      <c r="C415" s="183">
        <f t="shared" si="35"/>
        <v>0</v>
      </c>
      <c r="D415" s="190"/>
      <c r="E415" s="190"/>
      <c r="F415" s="191"/>
      <c r="G415" s="191"/>
      <c r="H415" s="192"/>
      <c r="I415" s="255"/>
      <c r="J415" s="255"/>
      <c r="K415" s="37"/>
      <c r="L415" s="193"/>
      <c r="M415" s="193"/>
      <c r="N415" s="51" t="str">
        <f>IF(AND('331-CT'!$E$7=TH!H541,OR(L415="331",M415="331")),"331",IF(AND(OR(L415="131",M415="131"),H415='131-CT'!$E$7),"131",""))</f>
        <v/>
      </c>
      <c r="O415" s="891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IF(OR(TH!L541=TH!$W$7,M415=TH!$W$7),"x","")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IF(AND(OR(LEFT(TH!L541,2)="15",LEFT(TH!M541,2)="15"),'152-CT'!$J$8=TH!F541),"x","")</f>
        <v/>
      </c>
      <c r="Z415" s="51" t="str">
        <f>IF(AND(OR(LEFT(TH!L541,2)="15",LEFT(TH!M541,2)="15"),TK!$E$7=TH!F541),"x","")</f>
        <v/>
      </c>
      <c r="AA415" s="51" t="str">
        <f>IF(AND(B415&lt;=NKC!$N$8,B415&gt;=NKC!$M$8),"x","")</f>
        <v/>
      </c>
      <c r="AB415" s="923"/>
      <c r="AE415" s="210"/>
      <c r="AF415" s="210"/>
      <c r="AG415" s="210"/>
    </row>
    <row r="416" spans="1:33" s="589" customFormat="1" ht="15.75" hidden="1" customHeight="1">
      <c r="A416" s="203" t="str">
        <f>IF(B416&lt;&gt;"",IF(AND(B416&gt;=_TM1,B416&lt;=_TM2,OR(TH!L416="1111",TH!M416="1111")),TH!D416,""),"")</f>
        <v/>
      </c>
      <c r="B416" s="36">
        <f t="shared" si="36"/>
        <v>1</v>
      </c>
      <c r="C416" s="183">
        <f t="shared" si="35"/>
        <v>0</v>
      </c>
      <c r="D416" s="190"/>
      <c r="E416" s="190"/>
      <c r="F416" s="191"/>
      <c r="G416" s="191"/>
      <c r="H416" s="192"/>
      <c r="I416" s="257"/>
      <c r="J416" s="257"/>
      <c r="K416" s="37"/>
      <c r="L416" s="193"/>
      <c r="M416" s="193"/>
      <c r="N416" s="51" t="str">
        <f>IF(AND('331-CT'!$E$7=TH!H542,OR(L416="331",M416="331")),"331",IF(AND(OR(L416="131",M416="131"),H416='131-CT'!$E$7),"131",""))</f>
        <v/>
      </c>
      <c r="O416" s="891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IF(OR(TH!L542=TH!$W$7,M416=TH!$W$7),"x","")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IF(AND(OR(LEFT(TH!L542,2)="15",LEFT(TH!M542,2)="15"),'152-CT'!$J$8=TH!F542),"x","")</f>
        <v/>
      </c>
      <c r="Z416" s="51" t="str">
        <f>IF(AND(OR(LEFT(TH!L542,2)="15",LEFT(TH!M542,2)="15"),TK!$E$7=TH!F542),"x","")</f>
        <v/>
      </c>
      <c r="AA416" s="51" t="str">
        <f>IF(AND(B416&lt;=NKC!$N$8,B416&gt;=NKC!$M$8),"x","")</f>
        <v/>
      </c>
      <c r="AB416" s="923"/>
      <c r="AE416" s="210"/>
      <c r="AF416" s="210"/>
      <c r="AG416" s="210"/>
    </row>
    <row r="417" spans="1:33" s="589" customFormat="1" ht="15.75" hidden="1" customHeight="1">
      <c r="A417" s="203" t="str">
        <f>IF(B417&lt;&gt;"",IF(AND(B417&gt;=_TM1,B417&lt;=_TM2,OR(TH!L417="1111",TH!M417="1111")),TH!D417,""),"")</f>
        <v/>
      </c>
      <c r="B417" s="36">
        <f t="shared" si="36"/>
        <v>1</v>
      </c>
      <c r="C417" s="183">
        <f t="shared" si="35"/>
        <v>0</v>
      </c>
      <c r="D417" s="190"/>
      <c r="E417" s="190"/>
      <c r="F417" s="191"/>
      <c r="G417" s="191"/>
      <c r="H417" s="192"/>
      <c r="I417" s="257"/>
      <c r="J417" s="257"/>
      <c r="K417" s="37"/>
      <c r="L417" s="193"/>
      <c r="M417" s="193"/>
      <c r="N417" s="51" t="str">
        <f>IF(AND('331-CT'!$E$7=TH!H543,OR(L417="331",M417="331")),"331",IF(AND(OR(L417="131",M417="131"),H417='131-CT'!$E$7),"131",""))</f>
        <v/>
      </c>
      <c r="O417" s="891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IF(OR(TH!L543=TH!$W$7,M417=TH!$W$7),"x","")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IF(AND(OR(LEFT(TH!L543,2)="15",LEFT(TH!M543,2)="15"),'152-CT'!$J$8=TH!F543),"x","")</f>
        <v/>
      </c>
      <c r="Z417" s="51" t="str">
        <f>IF(AND(OR(LEFT(TH!L543,2)="15",LEFT(TH!M543,2)="15"),TK!$E$7=TH!F543),"x","")</f>
        <v/>
      </c>
      <c r="AA417" s="51" t="str">
        <f>IF(AND(B417&lt;=NKC!$N$8,B417&gt;=NKC!$M$8),"x","")</f>
        <v/>
      </c>
      <c r="AB417" s="923"/>
      <c r="AE417" s="210"/>
      <c r="AF417" s="210"/>
      <c r="AG417" s="210"/>
    </row>
    <row r="418" spans="1:33" s="589" customFormat="1" ht="15.75" hidden="1" customHeight="1">
      <c r="A418" s="203" t="str">
        <f>IF(B418&lt;&gt;"",IF(AND(B418&gt;=_TM1,B418&lt;=_TM2,OR(TH!L418="1111",TH!M418="1111")),TH!D418,""),"")</f>
        <v/>
      </c>
      <c r="B418" s="36">
        <f t="shared" si="36"/>
        <v>1</v>
      </c>
      <c r="C418" s="183">
        <f t="shared" si="35"/>
        <v>0</v>
      </c>
      <c r="D418" s="190"/>
      <c r="E418" s="190"/>
      <c r="F418" s="191"/>
      <c r="G418" s="191"/>
      <c r="H418" s="192"/>
      <c r="I418" s="255"/>
      <c r="J418" s="255"/>
      <c r="K418" s="37"/>
      <c r="L418" s="193"/>
      <c r="M418" s="193"/>
      <c r="N418" s="51" t="str">
        <f>IF(AND('331-CT'!$E$7=TH!H544,OR(L418="331",M418="331")),"331",IF(AND(OR(L418="131",M418="131"),H418='131-CT'!$E$7),"131",""))</f>
        <v/>
      </c>
      <c r="O418" s="891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IF(OR(TH!L544=TH!$W$7,M418=TH!$W$7),"x","")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IF(AND(OR(LEFT(TH!L544,2)="15",LEFT(TH!M544,2)="15"),'152-CT'!$J$8=TH!F544),"x","")</f>
        <v/>
      </c>
      <c r="Z418" s="51" t="str">
        <f>IF(AND(OR(LEFT(TH!L544,2)="15",LEFT(TH!M544,2)="15"),TK!$E$7=TH!F544),"x","")</f>
        <v/>
      </c>
      <c r="AA418" s="51" t="str">
        <f>IF(AND(B418&lt;=NKC!$N$8,B418&gt;=NKC!$M$8),"x","")</f>
        <v/>
      </c>
      <c r="AB418" s="923"/>
      <c r="AE418" s="210"/>
      <c r="AF418" s="210"/>
      <c r="AG418" s="210"/>
    </row>
    <row r="419" spans="1:33" s="589" customFormat="1" ht="15.75" hidden="1" customHeight="1">
      <c r="A419" s="203" t="str">
        <f>IF(B419&lt;&gt;"",IF(AND(B419&gt;=_TM1,B419&lt;=_TM2,OR(TH!L419="1111",TH!M419="1111")),TH!D419,""),"")</f>
        <v/>
      </c>
      <c r="B419" s="36">
        <f t="shared" si="36"/>
        <v>1</v>
      </c>
      <c r="C419" s="183">
        <f t="shared" ref="C419:C462" si="37">E419</f>
        <v>0</v>
      </c>
      <c r="D419" s="190"/>
      <c r="E419" s="190"/>
      <c r="F419" s="191"/>
      <c r="G419" s="191"/>
      <c r="H419" s="192"/>
      <c r="I419" s="255"/>
      <c r="J419" s="255"/>
      <c r="K419" s="37"/>
      <c r="L419" s="193"/>
      <c r="M419" s="193"/>
      <c r="N419" s="51" t="str">
        <f>IF(AND('331-CT'!$E$7=TH!H545,OR(L419="331",M419="331")),"331",IF(AND(OR(L419="131",M419="131"),H419='131-CT'!$E$7),"131",""))</f>
        <v/>
      </c>
      <c r="O419" s="891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IF(OR(TH!L545=TH!$W$7,M419=TH!$W$7),"x","")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IF(AND(OR(LEFT(TH!L545,2)="15",LEFT(TH!M545,2)="15"),'152-CT'!$J$8=TH!F545),"x","")</f>
        <v/>
      </c>
      <c r="Z419" s="51" t="str">
        <f>IF(AND(OR(LEFT(TH!L545,2)="15",LEFT(TH!M545,2)="15"),TK!$E$7=TH!F545),"x","")</f>
        <v/>
      </c>
      <c r="AA419" s="51" t="str">
        <f>IF(AND(B419&lt;=NKC!$N$8,B419&gt;=NKC!$M$8),"x","")</f>
        <v/>
      </c>
      <c r="AB419" s="923"/>
      <c r="AE419" s="210"/>
      <c r="AF419" s="210"/>
      <c r="AG419" s="210"/>
    </row>
    <row r="420" spans="1:33" s="589" customFormat="1" ht="15.75" hidden="1" customHeight="1">
      <c r="A420" s="203" t="str">
        <f>IF(B420&lt;&gt;"",IF(AND(B420&gt;=_TM1,B420&lt;=_TM2,OR(TH!L420="1111",TH!M420="1111")),TH!D420,""),"")</f>
        <v/>
      </c>
      <c r="B420" s="36">
        <f t="shared" si="36"/>
        <v>1</v>
      </c>
      <c r="C420" s="183">
        <f t="shared" si="37"/>
        <v>0</v>
      </c>
      <c r="D420" s="190"/>
      <c r="E420" s="190"/>
      <c r="F420" s="191"/>
      <c r="G420" s="191"/>
      <c r="H420" s="192"/>
      <c r="I420" s="255"/>
      <c r="J420" s="255"/>
      <c r="K420" s="37"/>
      <c r="L420" s="193"/>
      <c r="M420" s="193"/>
      <c r="N420" s="51" t="str">
        <f>IF(AND('331-CT'!$E$7=TH!H546,OR(L420="331",M420="331")),"331",IF(AND(OR(L420="131",M420="131"),H420='131-CT'!$E$7),"131",""))</f>
        <v/>
      </c>
      <c r="O420" s="891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IF(OR(TH!L546=TH!$W$7,M420=TH!$W$7),"x","")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IF(AND(OR(LEFT(TH!L546,2)="15",LEFT(TH!M546,2)="15"),'152-CT'!$J$8=TH!F546),"x","")</f>
        <v/>
      </c>
      <c r="Z420" s="51" t="str">
        <f>IF(AND(OR(LEFT(TH!L546,2)="15",LEFT(TH!M546,2)="15"),TK!$E$7=TH!F546),"x","")</f>
        <v/>
      </c>
      <c r="AA420" s="51" t="str">
        <f>IF(AND(B420&lt;=NKC!$N$8,B420&gt;=NKC!$M$8),"x","")</f>
        <v/>
      </c>
      <c r="AB420" s="923"/>
      <c r="AD420" s="210"/>
      <c r="AE420" s="210"/>
      <c r="AF420" s="210"/>
      <c r="AG420" s="210"/>
    </row>
    <row r="421" spans="1:33" s="589" customFormat="1" ht="15.75" hidden="1" customHeight="1">
      <c r="A421" s="203" t="str">
        <f>IF(B421&lt;&gt;"",IF(AND(B421&gt;=_TM1,B421&lt;=_TM2,OR(TH!L421="1111",TH!M421="1111")),TH!D421,""),"")</f>
        <v/>
      </c>
      <c r="B421" s="36">
        <f t="shared" si="36"/>
        <v>1</v>
      </c>
      <c r="C421" s="183">
        <f t="shared" si="37"/>
        <v>0</v>
      </c>
      <c r="D421" s="190"/>
      <c r="E421" s="190"/>
      <c r="F421" s="191"/>
      <c r="G421" s="191"/>
      <c r="H421" s="192"/>
      <c r="I421" s="255"/>
      <c r="J421" s="255"/>
      <c r="K421" s="37"/>
      <c r="L421" s="193"/>
      <c r="M421" s="193"/>
      <c r="N421" s="51" t="str">
        <f>IF(AND('331-CT'!$E$7=TH!H547,OR(L421="331",M421="331")),"331",IF(AND(OR(L421="131",M421="131"),H421='131-CT'!$E$7),"131",""))</f>
        <v/>
      </c>
      <c r="O421" s="891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IF(OR(TH!L547=TH!$W$7,M421=TH!$W$7),"x","")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IF(AND(OR(LEFT(TH!L547,2)="15",LEFT(TH!M547,2)="15"),'152-CT'!$J$8=TH!F547),"x","")</f>
        <v/>
      </c>
      <c r="Z421" s="51" t="str">
        <f>IF(AND(OR(LEFT(TH!L547,2)="15",LEFT(TH!M547,2)="15"),TK!$E$7=TH!F547),"x","")</f>
        <v/>
      </c>
      <c r="AA421" s="51" t="str">
        <f>IF(AND(B421&lt;=NKC!$N$8,B421&gt;=NKC!$M$8),"x","")</f>
        <v/>
      </c>
      <c r="AB421" s="923"/>
      <c r="AF421" s="210"/>
      <c r="AG421" s="210"/>
    </row>
    <row r="422" spans="1:33" s="589" customFormat="1" ht="15.75" hidden="1" customHeight="1">
      <c r="A422" s="203" t="str">
        <f>IF(B422&lt;&gt;"",IF(AND(B422&gt;=_TM1,B422&lt;=_TM2,OR(TH!L422="1111",TH!M422="1111")),TH!D422,""),"")</f>
        <v/>
      </c>
      <c r="B422" s="36">
        <f t="shared" si="36"/>
        <v>1</v>
      </c>
      <c r="C422" s="183">
        <f t="shared" si="37"/>
        <v>0</v>
      </c>
      <c r="D422" s="190"/>
      <c r="E422" s="190"/>
      <c r="F422" s="191"/>
      <c r="G422" s="191"/>
      <c r="H422" s="209"/>
      <c r="I422" s="256"/>
      <c r="J422" s="256"/>
      <c r="K422" s="37"/>
      <c r="L422" s="193"/>
      <c r="M422" s="193"/>
      <c r="N422" s="51" t="str">
        <f>IF(AND('331-CT'!$E$7=TH!H548,OR(L422="331",M422="331")),"331",IF(AND(OR(L422="131",M422="131"),H422='131-CT'!$E$7),"131",""))</f>
        <v/>
      </c>
      <c r="O422" s="891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IF(OR(TH!L548=TH!$W$7,M422=TH!$W$7),"x","")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IF(AND(OR(LEFT(TH!L548,2)="15",LEFT(TH!M548,2)="15"),'152-CT'!$J$8=TH!F548),"x","")</f>
        <v/>
      </c>
      <c r="Z422" s="51" t="str">
        <f>IF(AND(OR(LEFT(TH!L548,2)="15",LEFT(TH!M548,2)="15"),TK!$E$7=TH!F548),"x","")</f>
        <v/>
      </c>
      <c r="AA422" s="51" t="str">
        <f>IF(AND(B422&lt;=NKC!$N$8,B422&gt;=NKC!$M$8),"x","")</f>
        <v/>
      </c>
      <c r="AB422" s="923"/>
      <c r="AF422" s="210"/>
      <c r="AG422" s="210"/>
    </row>
    <row r="423" spans="1:33" s="589" customFormat="1" ht="15.75" hidden="1" customHeight="1">
      <c r="A423" s="203" t="str">
        <f>IF(B423&lt;&gt;"",IF(AND(B423&gt;=_TM1,B423&lt;=_TM2,OR(TH!L423="1111",TH!M423="1111")),TH!D423,""),"")</f>
        <v/>
      </c>
      <c r="B423" s="36">
        <f t="shared" si="36"/>
        <v>1</v>
      </c>
      <c r="C423" s="183">
        <f t="shared" si="37"/>
        <v>0</v>
      </c>
      <c r="D423" s="190"/>
      <c r="E423" s="190"/>
      <c r="F423" s="191"/>
      <c r="G423" s="191"/>
      <c r="H423" s="191"/>
      <c r="I423" s="255"/>
      <c r="J423" s="255"/>
      <c r="K423" s="37"/>
      <c r="L423" s="193"/>
      <c r="M423" s="193"/>
      <c r="N423" s="51" t="str">
        <f>IF(AND('331-CT'!$E$7=TH!H549,OR(L423="331",M423="331")),"331",IF(AND(OR(L423="131",M423="131"),H423='131-CT'!$E$7),"131",""))</f>
        <v/>
      </c>
      <c r="O423" s="891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IF(OR(TH!L549=TH!$W$7,M423=TH!$W$7),"x","")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IF(AND(OR(LEFT(TH!L549,2)="15",LEFT(TH!M549,2)="15"),'152-CT'!$J$8=TH!F549),"x","")</f>
        <v/>
      </c>
      <c r="Z423" s="51" t="str">
        <f>IF(AND(OR(LEFT(TH!L549,2)="15",LEFT(TH!M549,2)="15"),TK!$E$7=TH!F549),"x","")</f>
        <v/>
      </c>
      <c r="AA423" s="51" t="str">
        <f>IF(AND(B423&lt;=NKC!$N$8,B423&gt;=NKC!$M$8),"x","")</f>
        <v/>
      </c>
      <c r="AB423" s="923"/>
      <c r="AD423" s="210"/>
      <c r="AE423" s="210"/>
      <c r="AF423" s="210"/>
      <c r="AG423" s="210"/>
    </row>
    <row r="424" spans="1:33" s="589" customFormat="1" ht="15.75" hidden="1" customHeight="1">
      <c r="A424" s="203" t="str">
        <f>IF(B424&lt;&gt;"",IF(AND(B424&gt;=_TM1,B424&lt;=_TM2,OR(TH!L424="1111",TH!M424="1111")),TH!D424,""),"")</f>
        <v/>
      </c>
      <c r="B424" s="36">
        <f t="shared" si="36"/>
        <v>1</v>
      </c>
      <c r="C424" s="183">
        <f t="shared" si="37"/>
        <v>0</v>
      </c>
      <c r="D424" s="190"/>
      <c r="E424" s="190"/>
      <c r="F424" s="191"/>
      <c r="G424" s="191"/>
      <c r="H424" s="192"/>
      <c r="I424" s="255"/>
      <c r="J424" s="255"/>
      <c r="K424" s="37"/>
      <c r="L424" s="193"/>
      <c r="M424" s="193"/>
      <c r="N424" s="51" t="str">
        <f>IF(AND('331-CT'!$E$7=TH!H550,OR(L424="331",M424="331")),"331",IF(AND(OR(L424="131",M424="131"),H424='131-CT'!$E$7),"131",""))</f>
        <v/>
      </c>
      <c r="O424" s="891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IF(OR(TH!L550=TH!$W$7,M424=TH!$W$7),"x","")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IF(AND(OR(LEFT(TH!L550,2)="15",LEFT(TH!M550,2)="15"),'152-CT'!$J$8=TH!F550),"x","")</f>
        <v/>
      </c>
      <c r="Z424" s="51" t="str">
        <f>IF(AND(OR(LEFT(TH!L550,2)="15",LEFT(TH!M550,2)="15"),TK!$E$7=TH!F550),"x","")</f>
        <v/>
      </c>
      <c r="AA424" s="51" t="str">
        <f>IF(AND(B424&lt;=NKC!$N$8,B424&gt;=NKC!$M$8),"x","")</f>
        <v/>
      </c>
      <c r="AB424" s="923"/>
      <c r="AE424" s="210"/>
      <c r="AF424" s="210"/>
      <c r="AG424" s="210"/>
    </row>
    <row r="425" spans="1:33" s="589" customFormat="1" ht="15.75" hidden="1" customHeight="1">
      <c r="A425" s="203" t="str">
        <f>IF(B425&lt;&gt;"",IF(AND(B425&gt;=_TM1,B425&lt;=_TM2,OR(TH!L425="1111",TH!M425="1111")),TH!D425,""),"")</f>
        <v/>
      </c>
      <c r="B425" s="36">
        <f t="shared" si="36"/>
        <v>1</v>
      </c>
      <c r="C425" s="183">
        <f t="shared" si="37"/>
        <v>0</v>
      </c>
      <c r="D425" s="190"/>
      <c r="E425" s="190"/>
      <c r="F425" s="191"/>
      <c r="G425" s="191"/>
      <c r="H425" s="191"/>
      <c r="I425" s="255"/>
      <c r="J425" s="255"/>
      <c r="K425" s="37"/>
      <c r="L425" s="193"/>
      <c r="M425" s="193"/>
      <c r="N425" s="51" t="str">
        <f>IF(AND('331-CT'!$E$7=TH!H551,OR(L425="331",M425="331")),"331",IF(AND(OR(L425="131",M425="131"),H425='131-CT'!$E$7),"131",""))</f>
        <v/>
      </c>
      <c r="O425" s="891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IF(OR(TH!L551=TH!$W$7,M425=TH!$W$7),"x","")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IF(AND(OR(LEFT(TH!L551,2)="15",LEFT(TH!M551,2)="15"),'152-CT'!$J$8=TH!F551),"x","")</f>
        <v/>
      </c>
      <c r="Z425" s="51" t="str">
        <f>IF(AND(OR(LEFT(TH!L551,2)="15",LEFT(TH!M551,2)="15"),TK!$E$7=TH!F551),"x","")</f>
        <v/>
      </c>
      <c r="AA425" s="51" t="str">
        <f>IF(AND(B425&lt;=NKC!$N$8,B425&gt;=NKC!$M$8),"x","")</f>
        <v/>
      </c>
      <c r="AB425" s="923"/>
      <c r="AE425" s="210"/>
      <c r="AF425" s="210"/>
      <c r="AG425" s="210"/>
    </row>
    <row r="426" spans="1:33" s="589" customFormat="1" ht="15.75" hidden="1" customHeight="1">
      <c r="A426" s="203" t="str">
        <f>IF(B426&lt;&gt;"",IF(AND(B426&gt;=_TM1,B426&lt;=_TM2,OR(TH!L426="1111",TH!M426="1111")),TH!D426,""),"")</f>
        <v/>
      </c>
      <c r="B426" s="36">
        <f t="shared" si="36"/>
        <v>1</v>
      </c>
      <c r="C426" s="183">
        <f t="shared" si="37"/>
        <v>0</v>
      </c>
      <c r="D426" s="190"/>
      <c r="E426" s="190"/>
      <c r="F426" s="191"/>
      <c r="G426" s="191"/>
      <c r="H426" s="783"/>
      <c r="I426" s="257"/>
      <c r="J426" s="257"/>
      <c r="K426" s="37"/>
      <c r="L426" s="193"/>
      <c r="M426" s="193"/>
      <c r="N426" s="51" t="str">
        <f>IF(AND('331-CT'!$E$7=TH!H552,OR(L426="331",M426="331")),"331",IF(AND(OR(L426="131",M426="131"),H426='131-CT'!$E$7),"131",""))</f>
        <v/>
      </c>
      <c r="O426" s="891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IF(OR(TH!L552=TH!$W$7,M426=TH!$W$7),"x","")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IF(AND(OR(LEFT(TH!L552,2)="15",LEFT(TH!M552,2)="15"),'152-CT'!$J$8=TH!F552),"x","")</f>
        <v/>
      </c>
      <c r="Z426" s="51" t="str">
        <f>IF(AND(OR(LEFT(TH!L552,2)="15",LEFT(TH!M552,2)="15"),TK!$E$7=TH!F552),"x","")</f>
        <v/>
      </c>
      <c r="AA426" s="51" t="str">
        <f>IF(AND(B426&lt;=NKC!$N$8,B426&gt;=NKC!$M$8),"x","")</f>
        <v/>
      </c>
      <c r="AB426" s="923"/>
      <c r="AE426" s="210"/>
      <c r="AF426" s="210"/>
      <c r="AG426" s="210"/>
    </row>
    <row r="427" spans="1:33" s="589" customFormat="1" ht="15.75" hidden="1" customHeight="1">
      <c r="A427" s="203" t="str">
        <f>IF(B427&lt;&gt;"",IF(AND(B427&gt;=_TM1,B427&lt;=_TM2,OR(TH!L427="1111",TH!M427="1111")),TH!D427,""),"")</f>
        <v/>
      </c>
      <c r="B427" s="36">
        <f t="shared" si="36"/>
        <v>1</v>
      </c>
      <c r="C427" s="183">
        <f t="shared" si="37"/>
        <v>0</v>
      </c>
      <c r="D427" s="190"/>
      <c r="E427" s="190"/>
      <c r="F427" s="191"/>
      <c r="G427" s="481"/>
      <c r="H427" s="192"/>
      <c r="I427" s="255"/>
      <c r="J427" s="255"/>
      <c r="K427" s="37"/>
      <c r="L427" s="193"/>
      <c r="M427" s="193"/>
      <c r="N427" s="51" t="str">
        <f>IF(AND('331-CT'!$E$7=TH!H553,OR(L427="331",M427="331")),"331",IF(AND(OR(L427="131",M427="131"),H427='131-CT'!$E$7),"131",""))</f>
        <v/>
      </c>
      <c r="O427" s="891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IF(OR(TH!L553=TH!$W$7,M427=TH!$W$7),"x","")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IF(AND(OR(LEFT(TH!L553,2)="15",LEFT(TH!M553,2)="15"),'152-CT'!$J$8=TH!F553),"x","")</f>
        <v/>
      </c>
      <c r="Z427" s="51" t="str">
        <f>IF(AND(OR(LEFT(TH!L553,2)="15",LEFT(TH!M553,2)="15"),TK!$E$7=TH!F553),"x","")</f>
        <v/>
      </c>
      <c r="AA427" s="51" t="str">
        <f>IF(AND(B427&lt;=NKC!$N$8,B427&gt;=NKC!$M$8),"x","")</f>
        <v/>
      </c>
      <c r="AB427" s="923"/>
      <c r="AE427" s="210"/>
      <c r="AF427" s="210"/>
      <c r="AG427" s="210"/>
    </row>
    <row r="428" spans="1:33" s="589" customFormat="1" ht="15.75" hidden="1" customHeight="1">
      <c r="A428" s="203" t="str">
        <f>IF(B428&lt;&gt;"",IF(AND(B428&gt;=_TM1,B428&lt;=_TM2,OR(TH!L428="1111",TH!M428="1111")),TH!D428,""),"")</f>
        <v/>
      </c>
      <c r="B428" s="36">
        <f t="shared" si="36"/>
        <v>1</v>
      </c>
      <c r="C428" s="183">
        <f t="shared" si="37"/>
        <v>0</v>
      </c>
      <c r="D428" s="190"/>
      <c r="E428" s="190"/>
      <c r="F428" s="191"/>
      <c r="G428" s="191"/>
      <c r="H428" s="192"/>
      <c r="I428" s="255"/>
      <c r="J428" s="255"/>
      <c r="K428" s="37"/>
      <c r="L428" s="193"/>
      <c r="M428" s="193"/>
      <c r="N428" s="51" t="str">
        <f>IF(AND('331-CT'!$E$7=TH!H554,OR(L428="331",M428="331")),"331",IF(AND(OR(L428="131",M428="131"),H428='131-CT'!$E$7),"131",""))</f>
        <v/>
      </c>
      <c r="O428" s="891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IF(OR(TH!L554=TH!$W$7,M428=TH!$W$7),"x","")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IF(AND(OR(LEFT(TH!L554,2)="15",LEFT(TH!M554,2)="15"),'152-CT'!$J$8=TH!F554),"x","")</f>
        <v/>
      </c>
      <c r="Z428" s="51" t="str">
        <f>IF(AND(OR(LEFT(TH!L554,2)="15",LEFT(TH!M554,2)="15"),TK!$E$7=TH!F554),"x","")</f>
        <v/>
      </c>
      <c r="AA428" s="51" t="str">
        <f>IF(AND(B428&lt;=NKC!$N$8,B428&gt;=NKC!$M$8),"x","")</f>
        <v/>
      </c>
      <c r="AB428" s="923"/>
      <c r="AD428" s="210"/>
      <c r="AE428" s="210"/>
      <c r="AF428" s="210"/>
      <c r="AG428" s="210"/>
    </row>
    <row r="429" spans="1:33" s="589" customFormat="1" ht="15.75" hidden="1" customHeight="1">
      <c r="A429" s="203" t="str">
        <f>IF(B429&lt;&gt;"",IF(AND(B429&gt;=_TM1,B429&lt;=_TM2,OR(TH!L429="1111",TH!M429="1111")),TH!D429,""),"")</f>
        <v/>
      </c>
      <c r="B429" s="36">
        <f t="shared" si="36"/>
        <v>1</v>
      </c>
      <c r="C429" s="183">
        <f t="shared" si="37"/>
        <v>0</v>
      </c>
      <c r="D429" s="190"/>
      <c r="E429" s="190"/>
      <c r="F429" s="191"/>
      <c r="G429" s="481"/>
      <c r="H429" s="192"/>
      <c r="I429" s="255"/>
      <c r="J429" s="255"/>
      <c r="K429" s="37"/>
      <c r="L429" s="193"/>
      <c r="M429" s="193"/>
      <c r="N429" s="51" t="str">
        <f>IF(AND('331-CT'!$E$7=TH!H555,OR(L429="331",M429="331")),"331",IF(AND(OR(L429="131",M429="131"),H429='131-CT'!$E$7),"131",""))</f>
        <v/>
      </c>
      <c r="O429" s="891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IF(OR(TH!L555=TH!$W$7,M429=TH!$W$7),"x","")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IF(AND(OR(LEFT(TH!L555,2)="15",LEFT(TH!M555,2)="15"),'152-CT'!$J$8=TH!F555),"x","")</f>
        <v/>
      </c>
      <c r="Z429" s="51" t="str">
        <f>IF(AND(OR(LEFT(TH!L555,2)="15",LEFT(TH!M555,2)="15"),TK!$E$7=TH!F555),"x","")</f>
        <v/>
      </c>
      <c r="AA429" s="51" t="str">
        <f>IF(AND(B429&lt;=NKC!$N$8,B429&gt;=NKC!$M$8),"x","")</f>
        <v/>
      </c>
      <c r="AB429" s="923"/>
      <c r="AE429" s="210"/>
      <c r="AF429" s="210"/>
      <c r="AG429" s="210"/>
    </row>
    <row r="430" spans="1:33" s="210" customFormat="1" ht="15.75" hidden="1" customHeight="1">
      <c r="A430" s="203" t="str">
        <f>IF(B430&lt;&gt;"",IF(AND(B430&gt;=_TM1,B430&lt;=_TM2,OR(TH!L430="1111",TH!M430="1111")),TH!D430,""),"")</f>
        <v/>
      </c>
      <c r="B430" s="36">
        <f t="shared" si="36"/>
        <v>1</v>
      </c>
      <c r="C430" s="183">
        <f t="shared" si="37"/>
        <v>0</v>
      </c>
      <c r="D430" s="190"/>
      <c r="E430" s="190"/>
      <c r="F430" s="191"/>
      <c r="G430" s="191"/>
      <c r="H430" s="192"/>
      <c r="I430" s="255"/>
      <c r="J430" s="255"/>
      <c r="K430" s="37"/>
      <c r="L430" s="193"/>
      <c r="M430" s="193"/>
      <c r="N430" s="51" t="str">
        <f>IF(AND('331-CT'!$E$7=TH!H556,OR(L430="331",M430="331")),"331",IF(AND(OR(L430="131",M430="131"),H430='131-CT'!$E$7),"131",""))</f>
        <v/>
      </c>
      <c r="O430" s="891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IF(OR(TH!L556=TH!$W$7,M430=TH!$W$7),"x","")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IF(AND(OR(LEFT(TH!L556,2)="15",LEFT(TH!M556,2)="15"),'152-CT'!$J$8=TH!F556),"x","")</f>
        <v/>
      </c>
      <c r="Z430" s="51" t="str">
        <f>IF(AND(OR(LEFT(TH!L556,2)="15",LEFT(TH!M556,2)="15"),TK!$E$7=TH!F556),"x","")</f>
        <v/>
      </c>
      <c r="AA430" s="51" t="str">
        <f>IF(AND(B430&lt;=NKC!$N$8,B430&gt;=NKC!$M$8),"x","")</f>
        <v/>
      </c>
      <c r="AB430" s="923"/>
      <c r="AC430" s="589"/>
      <c r="AD430" s="589"/>
    </row>
    <row r="431" spans="1:33" s="210" customFormat="1" ht="15.75" hidden="1" customHeight="1">
      <c r="A431" s="203" t="str">
        <f>IF(B431&lt;&gt;"",IF(AND(B431&gt;=_TM1,B431&lt;=_TM2,OR(TH!L431="1111",TH!M431="1111")),TH!D431,""),"")</f>
        <v/>
      </c>
      <c r="B431" s="36">
        <f t="shared" si="36"/>
        <v>1</v>
      </c>
      <c r="C431" s="183">
        <f t="shared" si="37"/>
        <v>0</v>
      </c>
      <c r="D431" s="190"/>
      <c r="E431" s="190"/>
      <c r="F431" s="191"/>
      <c r="G431" s="191"/>
      <c r="H431" s="209"/>
      <c r="I431" s="255"/>
      <c r="J431" s="255"/>
      <c r="K431" s="37"/>
      <c r="L431" s="193"/>
      <c r="M431" s="193"/>
      <c r="N431" s="51" t="str">
        <f>IF(AND('331-CT'!$E$7=TH!H557,OR(L431="331",M431="331")),"331",IF(AND(OR(L431="131",M431="131"),H431='131-CT'!$E$7),"131",""))</f>
        <v/>
      </c>
      <c r="O431" s="891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IF(OR(TH!L557=TH!$W$7,M431=TH!$W$7),"x","")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IF(AND(OR(LEFT(TH!L557,2)="15",LEFT(TH!M557,2)="15"),'152-CT'!$J$8=TH!F557),"x","")</f>
        <v/>
      </c>
      <c r="Z431" s="51" t="str">
        <f>IF(AND(OR(LEFT(TH!L557,2)="15",LEFT(TH!M557,2)="15"),TK!$E$7=TH!F557),"x","")</f>
        <v/>
      </c>
      <c r="AA431" s="51" t="str">
        <f>IF(AND(B431&lt;=NKC!$N$8,B431&gt;=NKC!$M$8),"x","")</f>
        <v/>
      </c>
      <c r="AB431" s="923"/>
      <c r="AC431" s="589"/>
      <c r="AD431" s="589"/>
    </row>
    <row r="432" spans="1:33" s="589" customFormat="1" ht="15.75" hidden="1" customHeight="1">
      <c r="A432" s="203" t="str">
        <f>IF(B432&lt;&gt;"",IF(AND(B432&gt;=_TM1,B432&lt;=_TM2,OR(TH!L432="1111",TH!M432="1111")),TH!D432,""),"")</f>
        <v/>
      </c>
      <c r="B432" s="36">
        <f t="shared" si="36"/>
        <v>1</v>
      </c>
      <c r="C432" s="183">
        <f t="shared" si="37"/>
        <v>0</v>
      </c>
      <c r="D432" s="190"/>
      <c r="E432" s="190"/>
      <c r="F432" s="191"/>
      <c r="G432" s="191"/>
      <c r="H432" s="44"/>
      <c r="I432" s="256"/>
      <c r="J432" s="256"/>
      <c r="K432" s="37"/>
      <c r="L432" s="193"/>
      <c r="M432" s="193"/>
      <c r="N432" s="51" t="str">
        <f>IF(AND('331-CT'!$E$7=TH!H558,OR(L432="331",M432="331")),"331",IF(AND(OR(L432="131",M432="131"),H432='131-CT'!$E$7),"131",""))</f>
        <v/>
      </c>
      <c r="O432" s="891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IF(OR(TH!L558=TH!$W$7,M432=TH!$W$7),"x","")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IF(AND(OR(LEFT(TH!L558,2)="15",LEFT(TH!M558,2)="15"),'152-CT'!$J$8=TH!F558),"x","")</f>
        <v/>
      </c>
      <c r="Z432" s="51" t="str">
        <f>IF(AND(OR(LEFT(TH!L558,2)="15",LEFT(TH!M558,2)="15"),TK!$E$7=TH!F558),"x","")</f>
        <v/>
      </c>
      <c r="AA432" s="51" t="str">
        <f>IF(AND(B432&lt;=NKC!$N$8,B432&gt;=NKC!$M$8),"x","")</f>
        <v/>
      </c>
      <c r="AB432" s="923"/>
      <c r="AF432" s="210"/>
      <c r="AG432" s="210"/>
    </row>
    <row r="433" spans="1:33" s="589" customFormat="1" ht="15.75" hidden="1" customHeight="1">
      <c r="A433" s="203" t="str">
        <f>IF(B433&lt;&gt;"",IF(AND(B433&gt;=_TM1,B433&lt;=_TM2,OR(TH!L433="1111",TH!M433="1111")),TH!D433,""),"")</f>
        <v/>
      </c>
      <c r="B433" s="36">
        <f t="shared" si="36"/>
        <v>1</v>
      </c>
      <c r="C433" s="183">
        <f t="shared" si="37"/>
        <v>0</v>
      </c>
      <c r="D433" s="190"/>
      <c r="E433" s="190"/>
      <c r="F433" s="191"/>
      <c r="G433" s="191"/>
      <c r="H433" s="209"/>
      <c r="I433" s="255"/>
      <c r="J433" s="255"/>
      <c r="K433" s="37"/>
      <c r="L433" s="193"/>
      <c r="M433" s="193"/>
      <c r="N433" s="51" t="str">
        <f>IF(AND('331-CT'!$E$7=TH!H559,OR(L433="331",M433="331")),"331",IF(AND(OR(L433="131",M433="131"),H433='131-CT'!$E$7),"131",""))</f>
        <v/>
      </c>
      <c r="O433" s="891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IF(OR(TH!L559=TH!$W$7,M433=TH!$W$7),"x","")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IF(AND(OR(LEFT(TH!L559,2)="15",LEFT(TH!M559,2)="15"),'152-CT'!$J$8=TH!F559),"x","")</f>
        <v/>
      </c>
      <c r="Z433" s="51" t="str">
        <f>IF(AND(OR(LEFT(TH!L559,2)="15",LEFT(TH!M559,2)="15"),TK!$E$7=TH!F559),"x","")</f>
        <v/>
      </c>
      <c r="AA433" s="51" t="str">
        <f>IF(AND(B433&lt;=NKC!$N$8,B433&gt;=NKC!$M$8),"x","")</f>
        <v/>
      </c>
      <c r="AB433" s="923"/>
      <c r="AF433" s="210"/>
      <c r="AG433" s="210"/>
    </row>
    <row r="434" spans="1:33" s="589" customFormat="1" ht="15.75" hidden="1" customHeight="1">
      <c r="A434" s="203" t="str">
        <f>IF(B434&lt;&gt;"",IF(AND(B434&gt;=_TM1,B434&lt;=_TM2,OR(TH!L434="1111",TH!M434="1111")),TH!D434,""),"")</f>
        <v/>
      </c>
      <c r="B434" s="36">
        <f t="shared" si="36"/>
        <v>1</v>
      </c>
      <c r="C434" s="183">
        <f t="shared" si="37"/>
        <v>0</v>
      </c>
      <c r="D434" s="190"/>
      <c r="E434" s="190"/>
      <c r="F434" s="191"/>
      <c r="G434" s="191"/>
      <c r="H434" s="44"/>
      <c r="I434" s="256"/>
      <c r="J434" s="256"/>
      <c r="K434" s="37"/>
      <c r="L434" s="193"/>
      <c r="M434" s="193"/>
      <c r="N434" s="51" t="str">
        <f>IF(AND('331-CT'!$E$7=TH!H560,OR(L434="331",M434="331")),"331",IF(AND(OR(L434="131",M434="131"),H434='131-CT'!$E$7),"131",""))</f>
        <v/>
      </c>
      <c r="O434" s="891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IF(OR(TH!L560=TH!$W$7,M434=TH!$W$7),"x","")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IF(AND(OR(LEFT(TH!L560,2)="15",LEFT(TH!M560,2)="15"),'152-CT'!$J$8=TH!F560),"x","")</f>
        <v/>
      </c>
      <c r="Z434" s="51" t="str">
        <f>IF(AND(OR(LEFT(TH!L560,2)="15",LEFT(TH!M560,2)="15"),TK!$E$7=TH!F560),"x","")</f>
        <v/>
      </c>
      <c r="AA434" s="51" t="str">
        <f>IF(AND(B434&lt;=NKC!$N$8,B434&gt;=NKC!$M$8),"x","")</f>
        <v/>
      </c>
      <c r="AB434" s="923"/>
      <c r="AF434" s="210"/>
      <c r="AG434" s="210"/>
    </row>
    <row r="435" spans="1:33" s="589" customFormat="1" ht="15.75" hidden="1" customHeight="1">
      <c r="A435" s="203" t="str">
        <f>IF(B435&lt;&gt;"",IF(AND(B435&gt;=_TM1,B435&lt;=_TM2,OR(TH!L435="1111",TH!M435="1111")),TH!D435,""),"")</f>
        <v/>
      </c>
      <c r="B435" s="36">
        <f t="shared" si="36"/>
        <v>1</v>
      </c>
      <c r="C435" s="183">
        <f t="shared" si="37"/>
        <v>0</v>
      </c>
      <c r="D435" s="190"/>
      <c r="E435" s="190"/>
      <c r="F435" s="191"/>
      <c r="G435" s="481"/>
      <c r="H435" s="192"/>
      <c r="I435" s="255"/>
      <c r="J435" s="257"/>
      <c r="K435" s="37"/>
      <c r="L435" s="193"/>
      <c r="M435" s="193"/>
      <c r="N435" s="51" t="str">
        <f>IF(AND('331-CT'!$E$7=TH!H358,OR(L435="331",M435="331")),"331",IF(AND(OR(L435="131",M435="131"),H435='131-CT'!$E$7),"131",""))</f>
        <v/>
      </c>
      <c r="O435" s="891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IF(OR(TH!L358=TH!$W$7,M435=TH!$W$7),"x","")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IF(AND(OR(LEFT(TH!L358,2)="15",LEFT(TH!M358,2)="15"),'152-CT'!$J$8=TH!F358),"x","")</f>
        <v/>
      </c>
      <c r="Z435" s="51" t="str">
        <f>IF(AND(OR(LEFT(TH!L358,2)="15",LEFT(TH!M358,2)="15"),TK!$E$7=TH!F358),"x","")</f>
        <v/>
      </c>
      <c r="AA435" s="51" t="str">
        <f>IF(AND(B435&lt;=NKC!$N$8,B435&gt;=NKC!$M$8),"x","")</f>
        <v/>
      </c>
      <c r="AB435" s="923"/>
      <c r="AE435" s="210"/>
    </row>
    <row r="436" spans="1:33" s="589" customFormat="1" ht="15.75" hidden="1" customHeight="1">
      <c r="A436" s="203" t="str">
        <f>IF(B436&lt;&gt;"",IF(AND(B436&gt;=_TM1,B436&lt;=_TM2,OR(TH!L436="1111",TH!M436="1111")),TH!D436,""),"")</f>
        <v/>
      </c>
      <c r="B436" s="36">
        <f t="shared" si="36"/>
        <v>1</v>
      </c>
      <c r="C436" s="183">
        <f t="shared" si="37"/>
        <v>0</v>
      </c>
      <c r="D436" s="190"/>
      <c r="E436" s="190"/>
      <c r="F436" s="191"/>
      <c r="G436" s="481"/>
      <c r="H436" s="192"/>
      <c r="I436" s="255"/>
      <c r="J436" s="257"/>
      <c r="K436" s="37"/>
      <c r="L436" s="193"/>
      <c r="M436" s="193"/>
      <c r="N436" s="51" t="str">
        <f>IF(AND('331-CT'!$E$7=TH!H359,OR(L436="331",M436="331")),"331",IF(AND(OR(L436="131",M436="131"),H436='131-CT'!$E$7),"131",""))</f>
        <v/>
      </c>
      <c r="O436" s="891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IF(OR(TH!L359=TH!$W$7,M436=TH!$W$7),"x","")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IF(AND(OR(LEFT(TH!L359,2)="15",LEFT(TH!M359,2)="15"),'152-CT'!$J$8=TH!F359),"x","")</f>
        <v/>
      </c>
      <c r="Z436" s="51" t="str">
        <f>IF(AND(OR(LEFT(TH!L359,2)="15",LEFT(TH!M359,2)="15"),TK!$E$7=TH!F359),"x","")</f>
        <v/>
      </c>
      <c r="AA436" s="51" t="str">
        <f>IF(AND(B436&lt;=NKC!$N$8,B436&gt;=NKC!$M$8),"x","")</f>
        <v/>
      </c>
      <c r="AB436" s="923"/>
      <c r="AE436" s="210"/>
    </row>
    <row r="437" spans="1:33" s="210" customFormat="1" ht="15.75" hidden="1" customHeight="1">
      <c r="A437" s="203" t="str">
        <f>IF(B437&lt;&gt;"",IF(AND(B437&gt;=_TM1,B437&lt;=_TM2,OR(TH!L437="1111",TH!M437="1111")),TH!D437,""),"")</f>
        <v/>
      </c>
      <c r="B437" s="36">
        <f t="shared" si="36"/>
        <v>1</v>
      </c>
      <c r="C437" s="183">
        <f t="shared" si="37"/>
        <v>0</v>
      </c>
      <c r="D437" s="190"/>
      <c r="E437" s="190"/>
      <c r="F437" s="191"/>
      <c r="G437" s="481"/>
      <c r="H437" s="192"/>
      <c r="I437" s="255"/>
      <c r="J437" s="257"/>
      <c r="K437" s="37"/>
      <c r="L437" s="193"/>
      <c r="M437" s="193"/>
      <c r="N437" s="51" t="str">
        <f>IF(AND('331-CT'!$E$7=TH!H360,OR(L437="331",M437="331")),"331",IF(AND(OR(L437="131",M437="131"),H437='131-CT'!$E$7),"131",""))</f>
        <v/>
      </c>
      <c r="O437" s="891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IF(OR(TH!L360=TH!$W$7,M437=TH!$W$7),"x","")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IF(AND(OR(LEFT(TH!L360,2)="15",LEFT(TH!M360,2)="15"),'152-CT'!$J$8=TH!F360),"x","")</f>
        <v/>
      </c>
      <c r="Z437" s="51" t="str">
        <f>IF(AND(OR(LEFT(TH!L360,2)="15",LEFT(TH!M360,2)="15"),TK!$E$7=TH!F360),"x","")</f>
        <v/>
      </c>
      <c r="AA437" s="51" t="str">
        <f>IF(AND(B437&lt;=NKC!$N$8,B437&gt;=NKC!$M$8),"x","")</f>
        <v/>
      </c>
      <c r="AB437" s="923"/>
      <c r="AC437" s="589"/>
      <c r="AD437" s="589"/>
      <c r="AF437" s="589"/>
      <c r="AG437" s="589"/>
    </row>
    <row r="438" spans="1:33" s="210" customFormat="1" ht="15.75" hidden="1" customHeight="1">
      <c r="A438" s="203" t="str">
        <f>IF(B438&lt;&gt;"",IF(AND(B438&gt;=_TM1,B438&lt;=_TM2,OR(TH!L438="1111",TH!M438="1111")),TH!D438,""),"")</f>
        <v/>
      </c>
      <c r="B438" s="36">
        <f t="shared" si="36"/>
        <v>1</v>
      </c>
      <c r="C438" s="183">
        <f t="shared" si="37"/>
        <v>0</v>
      </c>
      <c r="D438" s="190"/>
      <c r="E438" s="190"/>
      <c r="F438" s="191"/>
      <c r="G438" s="481"/>
      <c r="H438" s="192"/>
      <c r="I438" s="255"/>
      <c r="J438" s="257"/>
      <c r="K438" s="37"/>
      <c r="L438" s="193"/>
      <c r="M438" s="193"/>
      <c r="N438" s="51" t="str">
        <f>IF(AND('331-CT'!$E$7=TH!H361,OR(L438="331",M438="331")),"331",IF(AND(OR(L438="131",M438="131"),H438='131-CT'!$E$7),"131",""))</f>
        <v/>
      </c>
      <c r="O438" s="891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IF(OR(TH!L361=TH!$W$7,M438=TH!$W$7),"x","")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IF(AND(OR(LEFT(TH!L361,2)="15",LEFT(TH!M361,2)="15"),'152-CT'!$J$8=TH!F361),"x","")</f>
        <v/>
      </c>
      <c r="Z438" s="51" t="str">
        <f>IF(AND(OR(LEFT(TH!L361,2)="15",LEFT(TH!M361,2)="15"),TK!$E$7=TH!F361),"x","")</f>
        <v/>
      </c>
      <c r="AA438" s="51" t="str">
        <f>IF(AND(B438&lt;=NKC!$N$8,B438&gt;=NKC!$M$8),"x","")</f>
        <v/>
      </c>
      <c r="AB438" s="923"/>
      <c r="AC438" s="589"/>
      <c r="AD438" s="589"/>
      <c r="AF438" s="589"/>
      <c r="AG438" s="589"/>
    </row>
    <row r="439" spans="1:33" s="210" customFormat="1" ht="15.75" hidden="1" customHeight="1">
      <c r="A439" s="203" t="str">
        <f>IF(B439&lt;&gt;"",IF(AND(B439&gt;=_TM1,B439&lt;=_TM2,OR(TH!L439="1111",TH!M439="1111")),TH!D439,""),"")</f>
        <v/>
      </c>
      <c r="B439" s="36">
        <f t="shared" si="36"/>
        <v>1</v>
      </c>
      <c r="C439" s="183">
        <f t="shared" si="37"/>
        <v>0</v>
      </c>
      <c r="D439" s="190"/>
      <c r="E439" s="190"/>
      <c r="F439" s="191"/>
      <c r="G439" s="481"/>
      <c r="H439" s="192"/>
      <c r="I439" s="255"/>
      <c r="J439" s="257"/>
      <c r="K439" s="37"/>
      <c r="L439" s="193"/>
      <c r="M439" s="193"/>
      <c r="N439" s="51" t="str">
        <f>IF(AND('331-CT'!$E$7=TH!H362,OR(L439="331",M439="331")),"331",IF(AND(OR(L439="131",M439="131"),H439='131-CT'!$E$7),"131",""))</f>
        <v/>
      </c>
      <c r="O439" s="891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IF(OR(TH!L362=TH!$W$7,M439=TH!$W$7),"x","")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IF(AND(OR(LEFT(TH!L362,2)="15",LEFT(TH!M362,2)="15"),'152-CT'!$J$8=TH!F362),"x","")</f>
        <v/>
      </c>
      <c r="Z439" s="51" t="str">
        <f>IF(AND(OR(LEFT(TH!L362,2)="15",LEFT(TH!M362,2)="15"),TK!$E$7=TH!F362),"x","")</f>
        <v/>
      </c>
      <c r="AA439" s="51" t="str">
        <f>IF(AND(B439&lt;=NKC!$N$8,B439&gt;=NKC!$M$8),"x","")</f>
        <v/>
      </c>
      <c r="AB439" s="923"/>
      <c r="AC439" s="589"/>
      <c r="AD439" s="589"/>
      <c r="AF439" s="589"/>
      <c r="AG439" s="589"/>
    </row>
    <row r="440" spans="1:33" s="210" customFormat="1" ht="15.75" hidden="1" customHeight="1">
      <c r="A440" s="203" t="str">
        <f>IF(B440&lt;&gt;"",IF(AND(B440&gt;=_TM1,B440&lt;=_TM2,OR(TH!L440="1111",TH!M440="1111")),TH!D440,""),"")</f>
        <v/>
      </c>
      <c r="B440" s="36">
        <f t="shared" si="36"/>
        <v>1</v>
      </c>
      <c r="C440" s="183">
        <f t="shared" si="37"/>
        <v>0</v>
      </c>
      <c r="D440" s="190"/>
      <c r="E440" s="190"/>
      <c r="F440" s="191"/>
      <c r="G440" s="481"/>
      <c r="H440" s="192"/>
      <c r="I440" s="255"/>
      <c r="J440" s="257"/>
      <c r="K440" s="37"/>
      <c r="L440" s="193"/>
      <c r="M440" s="193"/>
      <c r="N440" s="51" t="str">
        <f>IF(AND('331-CT'!$E$7=TH!H363,OR(L440="331",M440="331")),"331",IF(AND(OR(L440="131",M440="131"),H440='131-CT'!$E$7),"131",""))</f>
        <v/>
      </c>
      <c r="O440" s="891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IF(OR(TH!L363=TH!$W$7,M440=TH!$W$7),"x","")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IF(AND(OR(LEFT(TH!L363,2)="15",LEFT(TH!M363,2)="15"),'152-CT'!$J$8=TH!F363),"x","")</f>
        <v/>
      </c>
      <c r="Z440" s="51" t="str">
        <f>IF(AND(OR(LEFT(TH!L363,2)="15",LEFT(TH!M363,2)="15"),TK!$E$7=TH!F363),"x","")</f>
        <v/>
      </c>
      <c r="AA440" s="51" t="str">
        <f>IF(AND(B440&lt;=NKC!$N$8,B440&gt;=NKC!$M$8),"x","")</f>
        <v/>
      </c>
      <c r="AB440" s="923"/>
      <c r="AC440" s="589"/>
      <c r="AD440" s="589"/>
      <c r="AF440" s="589"/>
      <c r="AG440" s="589"/>
    </row>
    <row r="441" spans="1:33" s="589" customFormat="1" ht="15.75" hidden="1" customHeight="1">
      <c r="A441" s="203" t="str">
        <f>IF(B441&lt;&gt;"",IF(AND(B441&gt;=_TM1,B441&lt;=_TM2,OR(TH!L441="1111",TH!M441="1111")),TH!D441,""),"")</f>
        <v/>
      </c>
      <c r="B441" s="36">
        <f t="shared" si="36"/>
        <v>1</v>
      </c>
      <c r="C441" s="183">
        <f t="shared" si="37"/>
        <v>0</v>
      </c>
      <c r="D441" s="190"/>
      <c r="E441" s="190"/>
      <c r="F441" s="191"/>
      <c r="G441" s="481"/>
      <c r="H441" s="192"/>
      <c r="I441" s="255"/>
      <c r="J441" s="257"/>
      <c r="K441" s="37"/>
      <c r="L441" s="193"/>
      <c r="M441" s="193"/>
      <c r="N441" s="51" t="str">
        <f>IF(AND('331-CT'!$E$7=TH!H364,OR(L441="331",M441="331")),"331",IF(AND(OR(L441="131",M441="131"),H441='131-CT'!$E$7),"131",""))</f>
        <v/>
      </c>
      <c r="O441" s="891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IF(OR(TH!L364=TH!$W$7,M441=TH!$W$7),"x","")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IF(AND(OR(LEFT(TH!L364,2)="15",LEFT(TH!M364,2)="15"),'152-CT'!$J$8=TH!F364),"x","")</f>
        <v/>
      </c>
      <c r="Z441" s="51" t="str">
        <f>IF(AND(OR(LEFT(TH!L364,2)="15",LEFT(TH!M364,2)="15"),TK!$E$7=TH!F364),"x","")</f>
        <v/>
      </c>
      <c r="AA441" s="51" t="str">
        <f>IF(AND(B441&lt;=NKC!$N$8,B441&gt;=NKC!$M$8),"x","")</f>
        <v/>
      </c>
      <c r="AB441" s="923"/>
      <c r="AD441" s="210"/>
      <c r="AE441" s="210"/>
    </row>
    <row r="442" spans="1:33" s="589" customFormat="1" ht="15.75" hidden="1" customHeight="1">
      <c r="A442" s="203" t="str">
        <f>IF(B442&lt;&gt;"",IF(AND(B442&gt;=_TM1,B442&lt;=_TM2,OR(TH!L442="1111",TH!M442="1111")),TH!D442,""),"")</f>
        <v/>
      </c>
      <c r="B442" s="36">
        <f t="shared" si="36"/>
        <v>1</v>
      </c>
      <c r="C442" s="183">
        <f t="shared" si="37"/>
        <v>0</v>
      </c>
      <c r="D442" s="190"/>
      <c r="E442" s="190"/>
      <c r="F442" s="191"/>
      <c r="G442" s="481"/>
      <c r="H442" s="192"/>
      <c r="I442" s="255"/>
      <c r="J442" s="257"/>
      <c r="K442" s="37"/>
      <c r="L442" s="193"/>
      <c r="M442" s="193"/>
      <c r="N442" s="51" t="str">
        <f>IF(AND('331-CT'!$E$7=TH!H365,OR(L442="331",M442="331")),"331",IF(AND(OR(L442="131",M442="131"),H442='131-CT'!$E$7),"131",""))</f>
        <v/>
      </c>
      <c r="O442" s="891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IF(OR(TH!L365=TH!$W$7,M442=TH!$W$7),"x","")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IF(AND(OR(LEFT(TH!L365,2)="15",LEFT(TH!M365,2)="15"),'152-CT'!$J$8=TH!F365),"x","")</f>
        <v/>
      </c>
      <c r="Z442" s="51" t="str">
        <f>IF(AND(OR(LEFT(TH!L365,2)="15",LEFT(TH!M365,2)="15"),TK!$E$7=TH!F365),"x","")</f>
        <v/>
      </c>
      <c r="AA442" s="51" t="str">
        <f>IF(AND(B442&lt;=NKC!$N$8,B442&gt;=NKC!$M$8),"x","")</f>
        <v/>
      </c>
      <c r="AB442" s="923"/>
      <c r="AE442" s="210"/>
    </row>
    <row r="443" spans="1:33" s="589" customFormat="1" ht="15.75" hidden="1" customHeight="1">
      <c r="A443" s="203" t="str">
        <f>IF(B443&lt;&gt;"",IF(AND(B443&gt;=_TM1,B443&lt;=_TM2,OR(TH!L443="1111",TH!M443="1111")),TH!D443,""),"")</f>
        <v/>
      </c>
      <c r="B443" s="36">
        <f t="shared" si="36"/>
        <v>1</v>
      </c>
      <c r="C443" s="183">
        <f t="shared" si="37"/>
        <v>0</v>
      </c>
      <c r="D443" s="190"/>
      <c r="E443" s="190"/>
      <c r="F443" s="191"/>
      <c r="G443" s="481"/>
      <c r="H443" s="192"/>
      <c r="I443" s="255"/>
      <c r="J443" s="257"/>
      <c r="K443" s="37"/>
      <c r="L443" s="193"/>
      <c r="M443" s="193"/>
      <c r="N443" s="51" t="str">
        <f>IF(AND('331-CT'!$E$7=TH!H366,OR(L443="331",M443="331")),"331",IF(AND(OR(L443="131",M443="131"),H443='131-CT'!$E$7),"131",""))</f>
        <v/>
      </c>
      <c r="O443" s="891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IF(OR(TH!L366=TH!$W$7,M443=TH!$W$7),"x","")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IF(AND(OR(LEFT(TH!L366,2)="15",LEFT(TH!M366,2)="15"),'152-CT'!$J$8=TH!F366),"x","")</f>
        <v/>
      </c>
      <c r="Z443" s="51" t="str">
        <f>IF(AND(OR(LEFT(TH!L366,2)="15",LEFT(TH!M366,2)="15"),TK!$E$7=TH!F366),"x","")</f>
        <v/>
      </c>
      <c r="AA443" s="51" t="str">
        <f>IF(AND(B443&lt;=NKC!$N$8,B443&gt;=NKC!$M$8),"x","")</f>
        <v/>
      </c>
      <c r="AB443" s="923"/>
      <c r="AD443" s="210"/>
      <c r="AE443" s="210"/>
    </row>
    <row r="444" spans="1:33" s="589" customFormat="1" ht="15.75" hidden="1" customHeight="1">
      <c r="A444" s="203" t="str">
        <f>IF(B444&lt;&gt;"",IF(AND(B444&gt;=_TM1,B444&lt;=_TM2,OR(TH!L444="1111",TH!M444="1111")),TH!D444,""),"")</f>
        <v/>
      </c>
      <c r="B444" s="36">
        <f t="shared" si="36"/>
        <v>1</v>
      </c>
      <c r="C444" s="183">
        <f t="shared" si="37"/>
        <v>0</v>
      </c>
      <c r="D444" s="190"/>
      <c r="E444" s="190"/>
      <c r="F444" s="191"/>
      <c r="G444" s="481"/>
      <c r="H444" s="192"/>
      <c r="I444" s="256"/>
      <c r="J444" s="257"/>
      <c r="K444" s="37"/>
      <c r="L444" s="193"/>
      <c r="M444" s="193"/>
      <c r="N444" s="51" t="str">
        <f>IF(AND('331-CT'!$E$7=TH!H367,OR(L444="331",M444="331")),"331",IF(AND(OR(L444="131",M444="131"),H444='131-CT'!$E$7),"131",""))</f>
        <v/>
      </c>
      <c r="O444" s="891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IF(OR(TH!L367=TH!$W$7,M444=TH!$W$7),"x","")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IF(AND(OR(LEFT(TH!L367,2)="15",LEFT(TH!M367,2)="15"),'152-CT'!$J$8=TH!F367),"x","")</f>
        <v/>
      </c>
      <c r="Z444" s="51" t="str">
        <f>IF(AND(OR(LEFT(TH!L367,2)="15",LEFT(TH!M367,2)="15"),TK!$E$7=TH!F367),"x","")</f>
        <v/>
      </c>
      <c r="AA444" s="51" t="str">
        <f>IF(AND(B444&lt;=NKC!$N$8,B444&gt;=NKC!$M$8),"x","")</f>
        <v/>
      </c>
      <c r="AB444" s="923"/>
      <c r="AE444" s="210"/>
    </row>
    <row r="445" spans="1:33" s="589" customFormat="1" ht="15.75" hidden="1" customHeight="1">
      <c r="A445" s="203" t="str">
        <f>IF(B445&lt;&gt;"",IF(AND(B445&gt;=_TM1,B445&lt;=_TM2,OR(TH!L445="1111",TH!M445="1111")),TH!D445,""),"")</f>
        <v/>
      </c>
      <c r="B445" s="36">
        <f t="shared" si="36"/>
        <v>1</v>
      </c>
      <c r="C445" s="183">
        <f t="shared" si="37"/>
        <v>0</v>
      </c>
      <c r="D445" s="190"/>
      <c r="E445" s="190"/>
      <c r="F445" s="191"/>
      <c r="G445" s="191"/>
      <c r="H445" s="7"/>
      <c r="I445" s="255"/>
      <c r="J445" s="255"/>
      <c r="K445" s="37"/>
      <c r="L445" s="193"/>
      <c r="M445" s="193"/>
      <c r="N445" s="51" t="str">
        <f>IF(AND('331-CT'!$E$7=TH!H561,OR(L445="331",M445="331")),"331",IF(AND(OR(L445="131",M445="131"),H445='131-CT'!$E$7),"131",""))</f>
        <v/>
      </c>
      <c r="O445" s="891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IF(OR(TH!L561=TH!$W$7,M445=TH!$W$7),"x","")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IF(AND(OR(LEFT(TH!L561,2)="15",LEFT(TH!M561,2)="15"),'152-CT'!$J$8=TH!F561),"x","")</f>
        <v/>
      </c>
      <c r="Z445" s="51" t="str">
        <f>IF(AND(OR(LEFT(TH!L561,2)="15",LEFT(TH!M561,2)="15"),TK!$E$7=TH!F561),"x","")</f>
        <v/>
      </c>
      <c r="AA445" s="51" t="str">
        <f>IF(AND(B445&lt;=NKC!$N$8,B445&gt;=NKC!$M$8),"x","")</f>
        <v/>
      </c>
      <c r="AB445" s="923"/>
      <c r="AF445" s="210"/>
      <c r="AG445" s="210"/>
    </row>
    <row r="446" spans="1:33" s="589" customFormat="1" ht="15.75" hidden="1" customHeight="1">
      <c r="A446" s="203" t="str">
        <f>IF(B446&lt;&gt;"",IF(AND(B446&gt;=_TM1,B446&lt;=_TM2,OR(TH!L446="1111",TH!M446="1111")),TH!D446,""),"")</f>
        <v/>
      </c>
      <c r="B446" s="36">
        <f t="shared" si="36"/>
        <v>1</v>
      </c>
      <c r="C446" s="183">
        <f t="shared" si="37"/>
        <v>0</v>
      </c>
      <c r="D446" s="190"/>
      <c r="E446" s="190"/>
      <c r="F446" s="191"/>
      <c r="G446" s="191"/>
      <c r="H446" s="7"/>
      <c r="I446" s="256"/>
      <c r="J446" s="256"/>
      <c r="K446" s="37"/>
      <c r="L446" s="193"/>
      <c r="M446" s="193"/>
      <c r="N446" s="51" t="str">
        <f>IF(AND('331-CT'!$E$7=TH!H562,OR(L446="331",M446="331")),"331",IF(AND(OR(L446="131",M446="131"),H446='131-CT'!$E$7),"131",""))</f>
        <v/>
      </c>
      <c r="O446" s="891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IF(OR(TH!L562=TH!$W$7,M446=TH!$W$7),"x","")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IF(AND(OR(LEFT(TH!L562,2)="15",LEFT(TH!M562,2)="15"),'152-CT'!$J$8=TH!F562),"x","")</f>
        <v/>
      </c>
      <c r="Z446" s="51" t="str">
        <f>IF(AND(OR(LEFT(TH!L562,2)="15",LEFT(TH!M562,2)="15"),TK!$E$7=TH!F562),"x","")</f>
        <v/>
      </c>
      <c r="AA446" s="51" t="str">
        <f>IF(AND(B446&lt;=NKC!$N$8,B446&gt;=NKC!$M$8),"x","")</f>
        <v/>
      </c>
      <c r="AB446" s="923"/>
      <c r="AF446" s="210"/>
      <c r="AG446" s="210"/>
    </row>
    <row r="447" spans="1:33" s="589" customFormat="1" ht="15.75" hidden="1" customHeight="1">
      <c r="A447" s="203" t="str">
        <f>IF(B447&lt;&gt;"",IF(AND(B447&gt;=_TM1,B447&lt;=_TM2,OR(TH!L447="1111",TH!M447="1111")),TH!D447,""),"")</f>
        <v/>
      </c>
      <c r="B447" s="36">
        <f t="shared" si="36"/>
        <v>1</v>
      </c>
      <c r="C447" s="183">
        <f t="shared" si="37"/>
        <v>0</v>
      </c>
      <c r="D447" s="190"/>
      <c r="E447" s="190"/>
      <c r="F447" s="191"/>
      <c r="G447" s="191"/>
      <c r="H447" s="7"/>
      <c r="I447" s="255"/>
      <c r="J447" s="255"/>
      <c r="K447" s="37"/>
      <c r="L447" s="193"/>
      <c r="M447" s="193"/>
      <c r="N447" s="51" t="str">
        <f>IF(AND('331-CT'!$E$7=TH!H563,OR(L447="331",M447="331")),"331",IF(AND(OR(L447="131",M447="131"),H447='131-CT'!$E$7),"131",""))</f>
        <v/>
      </c>
      <c r="O447" s="891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IF(OR(TH!L563=TH!$W$7,M447=TH!$W$7),"x","")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IF(AND(OR(LEFT(TH!L563,2)="15",LEFT(TH!M563,2)="15"),'152-CT'!$J$8=TH!F563),"x","")</f>
        <v/>
      </c>
      <c r="Z447" s="51" t="str">
        <f>IF(AND(OR(LEFT(TH!L563,2)="15",LEFT(TH!M563,2)="15"),TK!$E$7=TH!F563),"x","")</f>
        <v/>
      </c>
      <c r="AA447" s="51" t="str">
        <f>IF(AND(B447&lt;=NKC!$N$8,B447&gt;=NKC!$M$8),"x","")</f>
        <v/>
      </c>
      <c r="AB447" s="923"/>
      <c r="AF447" s="210"/>
      <c r="AG447" s="210"/>
    </row>
    <row r="448" spans="1:33" s="589" customFormat="1" ht="15.75" hidden="1" customHeight="1">
      <c r="A448" s="203" t="str">
        <f>IF(B448&lt;&gt;"",IF(AND(B448&gt;=_TM1,B448&lt;=_TM2,OR(TH!L448="1111",TH!M448="1111")),TH!D448,""),"")</f>
        <v/>
      </c>
      <c r="B448" s="36">
        <f t="shared" si="36"/>
        <v>1</v>
      </c>
      <c r="C448" s="183">
        <f t="shared" si="37"/>
        <v>0</v>
      </c>
      <c r="D448" s="190"/>
      <c r="E448" s="190"/>
      <c r="F448" s="191"/>
      <c r="G448" s="191"/>
      <c r="H448" s="7"/>
      <c r="I448" s="256"/>
      <c r="J448" s="256"/>
      <c r="K448" s="37"/>
      <c r="L448" s="193"/>
      <c r="M448" s="193"/>
      <c r="N448" s="51" t="str">
        <f>IF(AND('331-CT'!$E$7=TH!H564,OR(L448="331",M448="331")),"331",IF(AND(OR(L448="131",M448="131"),H448='131-CT'!$E$7),"131",""))</f>
        <v/>
      </c>
      <c r="O448" s="891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IF(OR(TH!L564=TH!$W$7,M448=TH!$W$7),"x","")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IF(AND(OR(LEFT(TH!L564,2)="15",LEFT(TH!M564,2)="15"),'152-CT'!$J$8=TH!F564),"x","")</f>
        <v/>
      </c>
      <c r="Z448" s="51" t="str">
        <f>IF(AND(OR(LEFT(TH!L564,2)="15",LEFT(TH!M564,2)="15"),TK!$E$7=TH!F564),"x","")</f>
        <v/>
      </c>
      <c r="AA448" s="51" t="str">
        <f>IF(AND(B448&lt;=NKC!$N$8,B448&gt;=NKC!$M$8),"x","")</f>
        <v/>
      </c>
      <c r="AB448" s="923"/>
      <c r="AF448" s="210"/>
      <c r="AG448" s="210"/>
    </row>
    <row r="449" spans="1:33" s="589" customFormat="1" ht="15.75" hidden="1" customHeight="1">
      <c r="A449" s="203" t="str">
        <f>IF(B449&lt;&gt;"",IF(AND(B449&gt;=_TM1,B449&lt;=_TM2,OR(TH!L449="1111",TH!M449="1111")),TH!D449,""),"")</f>
        <v/>
      </c>
      <c r="B449" s="36">
        <f t="shared" si="36"/>
        <v>1</v>
      </c>
      <c r="C449" s="183">
        <f t="shared" si="37"/>
        <v>0</v>
      </c>
      <c r="D449" s="190"/>
      <c r="E449" s="190"/>
      <c r="F449" s="191"/>
      <c r="G449" s="191"/>
      <c r="H449" s="209"/>
      <c r="I449" s="255"/>
      <c r="J449" s="255"/>
      <c r="K449" s="37"/>
      <c r="L449" s="193"/>
      <c r="M449" s="193"/>
      <c r="N449" s="51" t="str">
        <f>IF(AND('331-CT'!$E$7=TH!H565,OR(L449="331",M449="331")),"331",IF(AND(OR(L449="131",M449="131"),H449='131-CT'!$E$7),"131",""))</f>
        <v/>
      </c>
      <c r="O449" s="891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IF(OR(TH!L565=TH!$W$7,M449=TH!$W$7),"x","")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IF(AND(OR(LEFT(TH!L565,2)="15",LEFT(TH!M565,2)="15"),'152-CT'!$J$8=TH!F565),"x","")</f>
        <v/>
      </c>
      <c r="Z449" s="51" t="str">
        <f>IF(AND(OR(LEFT(TH!L565,2)="15",LEFT(TH!M565,2)="15"),TK!$E$7=TH!F565),"x","")</f>
        <v/>
      </c>
      <c r="AA449" s="51" t="str">
        <f>IF(AND(B449&lt;=NKC!$N$8,B449&gt;=NKC!$M$8),"x","")</f>
        <v/>
      </c>
      <c r="AB449" s="923"/>
      <c r="AF449" s="210"/>
      <c r="AG449" s="210"/>
    </row>
    <row r="450" spans="1:33" s="589" customFormat="1" ht="15.75" hidden="1" customHeight="1">
      <c r="A450" s="203" t="str">
        <f>IF(B450&lt;&gt;"",IF(AND(B450&gt;=_TM1,B450&lt;=_TM2,OR(TH!L450="1111",TH!M450="1111")),TH!D450,""),"")</f>
        <v/>
      </c>
      <c r="B450" s="36">
        <f t="shared" si="36"/>
        <v>1</v>
      </c>
      <c r="C450" s="183">
        <f t="shared" si="37"/>
        <v>0</v>
      </c>
      <c r="D450" s="190"/>
      <c r="E450" s="190"/>
      <c r="F450" s="191"/>
      <c r="G450" s="191"/>
      <c r="H450" s="209"/>
      <c r="I450" s="256"/>
      <c r="J450" s="256"/>
      <c r="K450" s="37"/>
      <c r="L450" s="193"/>
      <c r="M450" s="193"/>
      <c r="N450" s="51" t="str">
        <f>IF(AND('331-CT'!$E$7=TH!H566,OR(L450="331",M450="331")),"331",IF(AND(OR(L450="131",M450="131"),H450='131-CT'!$E$7),"131",""))</f>
        <v/>
      </c>
      <c r="O450" s="891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IF(OR(TH!L566=TH!$W$7,M450=TH!$W$7),"x","")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IF(AND(OR(LEFT(TH!L566,2)="15",LEFT(TH!M566,2)="15"),'152-CT'!$J$8=TH!F566),"x","")</f>
        <v/>
      </c>
      <c r="Z450" s="51" t="str">
        <f>IF(AND(OR(LEFT(TH!L566,2)="15",LEFT(TH!M566,2)="15"),TK!$E$7=TH!F566),"x","")</f>
        <v/>
      </c>
      <c r="AA450" s="51" t="str">
        <f>IF(AND(B450&lt;=NKC!$N$8,B450&gt;=NKC!$M$8),"x","")</f>
        <v/>
      </c>
      <c r="AB450" s="923"/>
      <c r="AF450" s="210"/>
      <c r="AG450" s="210"/>
    </row>
    <row r="451" spans="1:33" s="589" customFormat="1" ht="15.75" hidden="1" customHeight="1">
      <c r="A451" s="203" t="str">
        <f>IF(B451&lt;&gt;"",IF(AND(B451&gt;=_TM1,B451&lt;=_TM2,OR(TH!L451="1111",TH!M451="1111")),TH!D451,""),"")</f>
        <v/>
      </c>
      <c r="B451" s="36">
        <f t="shared" si="36"/>
        <v>1</v>
      </c>
      <c r="C451" s="183">
        <f t="shared" si="37"/>
        <v>0</v>
      </c>
      <c r="D451" s="190"/>
      <c r="E451" s="190"/>
      <c r="F451" s="191"/>
      <c r="G451" s="191"/>
      <c r="H451" s="209"/>
      <c r="I451" s="256"/>
      <c r="J451" s="256"/>
      <c r="K451" s="37"/>
      <c r="L451" s="193"/>
      <c r="M451" s="193"/>
      <c r="N451" s="51" t="str">
        <f>IF(AND('331-CT'!$E$7=TH!H567,OR(L451="331",M451="331")),"331",IF(AND(OR(L451="131",M451="131"),H451='131-CT'!$E$7),"131",""))</f>
        <v/>
      </c>
      <c r="O451" s="891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IF(OR(TH!L567=TH!$W$7,M451=TH!$W$7),"x","")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IF(AND(OR(LEFT(TH!L567,2)="15",LEFT(TH!M567,2)="15"),'152-CT'!$J$8=TH!F567),"x","")</f>
        <v/>
      </c>
      <c r="Z451" s="51" t="str">
        <f>IF(AND(OR(LEFT(TH!L567,2)="15",LEFT(TH!M567,2)="15"),TK!$E$7=TH!F567),"x","")</f>
        <v/>
      </c>
      <c r="AA451" s="51" t="str">
        <f>IF(AND(B451&lt;=NKC!$N$8,B451&gt;=NKC!$M$8),"x","")</f>
        <v/>
      </c>
      <c r="AB451" s="923"/>
      <c r="AF451" s="210"/>
      <c r="AG451" s="210"/>
    </row>
    <row r="452" spans="1:33" s="589" customFormat="1" ht="15.75" hidden="1" customHeight="1">
      <c r="A452" s="203" t="str">
        <f>IF(B452&lt;&gt;"",IF(AND(B452&gt;=_TM1,B452&lt;=_TM2,OR(TH!L452="1111",TH!M452="1111")),TH!D452,""),"")</f>
        <v/>
      </c>
      <c r="B452" s="36">
        <f t="shared" si="36"/>
        <v>1</v>
      </c>
      <c r="C452" s="183">
        <f t="shared" si="37"/>
        <v>0</v>
      </c>
      <c r="D452" s="190"/>
      <c r="E452" s="190"/>
      <c r="F452" s="191"/>
      <c r="G452" s="191"/>
      <c r="H452" s="209"/>
      <c r="I452" s="256"/>
      <c r="J452" s="256"/>
      <c r="K452" s="37"/>
      <c r="L452" s="193"/>
      <c r="M452" s="193"/>
      <c r="N452" s="51" t="str">
        <f>IF(AND('331-CT'!$E$7=TH!H568,OR(L452="331",M452="331")),"331",IF(AND(OR(L452="131",M452="131"),H452='131-CT'!$E$7),"131",""))</f>
        <v/>
      </c>
      <c r="O452" s="891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IF(OR(TH!L568=TH!$W$7,M452=TH!$W$7),"x","")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IF(AND(OR(LEFT(TH!L568,2)="15",LEFT(TH!M568,2)="15"),'152-CT'!$J$8=TH!F568),"x","")</f>
        <v/>
      </c>
      <c r="Z452" s="51" t="str">
        <f>IF(AND(OR(LEFT(TH!L568,2)="15",LEFT(TH!M568,2)="15"),TK!$E$7=TH!F568),"x","")</f>
        <v/>
      </c>
      <c r="AA452" s="51" t="str">
        <f>IF(AND(B452&lt;=NKC!$N$8,B452&gt;=NKC!$M$8),"x","")</f>
        <v/>
      </c>
      <c r="AB452" s="923"/>
      <c r="AF452" s="210"/>
      <c r="AG452" s="210"/>
    </row>
    <row r="453" spans="1:33" s="589" customFormat="1" ht="15.75" hidden="1" customHeight="1">
      <c r="A453" s="203" t="str">
        <f>IF(B453&lt;&gt;"",IF(AND(B453&gt;=_TM1,B453&lt;=_TM2,OR(TH!L453="1111",TH!M453="1111")),TH!D453,""),"")</f>
        <v/>
      </c>
      <c r="B453" s="36">
        <f t="shared" ref="B453:B516" si="38">IF(C453&lt;&gt;"",MONTH(C453),"")</f>
        <v>1</v>
      </c>
      <c r="C453" s="183">
        <f t="shared" si="37"/>
        <v>0</v>
      </c>
      <c r="D453" s="190"/>
      <c r="E453" s="190"/>
      <c r="F453" s="191"/>
      <c r="G453" s="191"/>
      <c r="H453" s="209"/>
      <c r="I453" s="255"/>
      <c r="J453" s="255"/>
      <c r="K453" s="37"/>
      <c r="L453" s="193"/>
      <c r="M453" s="193"/>
      <c r="N453" s="51" t="str">
        <f>IF(AND('331-CT'!$E$7=TH!H569,OR(L453="331",M453="331")),"331",IF(AND(OR(L453="131",M453="131"),H453='131-CT'!$E$7),"131",""))</f>
        <v/>
      </c>
      <c r="O453" s="891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IF(OR(TH!L569=TH!$W$7,M453=TH!$W$7),"x","")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IF(AND(OR(LEFT(TH!L569,2)="15",LEFT(TH!M569,2)="15"),'152-CT'!$J$8=TH!F569),"x","")</f>
        <v/>
      </c>
      <c r="Z453" s="51" t="str">
        <f>IF(AND(OR(LEFT(TH!L569,2)="15",LEFT(TH!M569,2)="15"),TK!$E$7=TH!F569),"x","")</f>
        <v/>
      </c>
      <c r="AA453" s="51" t="str">
        <f>IF(AND(B453&lt;=NKC!$N$8,B453&gt;=NKC!$M$8),"x","")</f>
        <v/>
      </c>
      <c r="AB453" s="923"/>
      <c r="AF453" s="210"/>
      <c r="AG453" s="210"/>
    </row>
    <row r="454" spans="1:33" s="589" customFormat="1" ht="15.75" hidden="1" customHeight="1">
      <c r="A454" s="203" t="str">
        <f>IF(B454&lt;&gt;"",IF(AND(B454&gt;=_TM1,B454&lt;=_TM2,OR(TH!L454="1111",TH!M454="1111")),TH!D454,""),"")</f>
        <v/>
      </c>
      <c r="B454" s="36">
        <f t="shared" si="38"/>
        <v>1</v>
      </c>
      <c r="C454" s="183">
        <f t="shared" si="37"/>
        <v>0</v>
      </c>
      <c r="D454" s="190"/>
      <c r="E454" s="190"/>
      <c r="F454" s="191"/>
      <c r="G454" s="191"/>
      <c r="H454" s="209"/>
      <c r="I454" s="255"/>
      <c r="J454" s="255"/>
      <c r="K454" s="37"/>
      <c r="L454" s="193"/>
      <c r="M454" s="193"/>
      <c r="N454" s="51" t="str">
        <f>IF(AND('331-CT'!$E$7=TH!H570,OR(L454="331",M454="331")),"331",IF(AND(OR(L454="131",M454="131"),H454='131-CT'!$E$7),"131",""))</f>
        <v/>
      </c>
      <c r="O454" s="891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IF(OR(TH!L570=TH!$W$7,M454=TH!$W$7),"x","")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IF(AND(OR(LEFT(TH!L570,2)="15",LEFT(TH!M570,2)="15"),'152-CT'!$J$8=TH!F570),"x","")</f>
        <v/>
      </c>
      <c r="Z454" s="51" t="str">
        <f>IF(AND(OR(LEFT(TH!L570,2)="15",LEFT(TH!M570,2)="15"),TK!$E$7=TH!F570),"x","")</f>
        <v/>
      </c>
      <c r="AA454" s="51" t="str">
        <f>IF(AND(B454&lt;=NKC!$N$8,B454&gt;=NKC!$M$8),"x","")</f>
        <v/>
      </c>
      <c r="AB454" s="923"/>
      <c r="AF454" s="210"/>
      <c r="AG454" s="210"/>
    </row>
    <row r="455" spans="1:33" s="589" customFormat="1" ht="15.75" hidden="1" customHeight="1">
      <c r="A455" s="203" t="str">
        <f>IF(B455&lt;&gt;"",IF(AND(B455&gt;=_TM1,B455&lt;=_TM2,OR(TH!L455="1111",TH!M455="1111")),TH!D455,""),"")</f>
        <v/>
      </c>
      <c r="B455" s="36">
        <f t="shared" si="38"/>
        <v>1</v>
      </c>
      <c r="C455" s="183">
        <f t="shared" si="37"/>
        <v>0</v>
      </c>
      <c r="D455" s="190"/>
      <c r="E455" s="190"/>
      <c r="F455" s="191"/>
      <c r="G455" s="191"/>
      <c r="H455" s="209"/>
      <c r="I455" s="255"/>
      <c r="J455" s="255"/>
      <c r="K455" s="37"/>
      <c r="L455" s="193"/>
      <c r="M455" s="193"/>
      <c r="N455" s="51" t="str">
        <f>IF(AND('331-CT'!$E$7=TH!H571,OR(L455="331",M455="331")),"331",IF(AND(OR(L455="131",M455="131"),H455='131-CT'!$E$7),"131",""))</f>
        <v/>
      </c>
      <c r="O455" s="891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IF(OR(TH!L571=TH!$W$7,M455=TH!$W$7),"x","")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IF(AND(OR(LEFT(TH!L571,2)="15",LEFT(TH!M571,2)="15"),'152-CT'!$J$8=TH!F571),"x","")</f>
        <v/>
      </c>
      <c r="Z455" s="51" t="str">
        <f>IF(AND(OR(LEFT(TH!L571,2)="15",LEFT(TH!M571,2)="15"),TK!$E$7=TH!F571),"x","")</f>
        <v/>
      </c>
      <c r="AA455" s="51" t="str">
        <f>IF(AND(B455&lt;=NKC!$N$8,B455&gt;=NKC!$M$8),"x","")</f>
        <v/>
      </c>
      <c r="AB455" s="923"/>
      <c r="AF455" s="210"/>
      <c r="AG455" s="210"/>
    </row>
    <row r="456" spans="1:33" s="589" customFormat="1" ht="15.75" hidden="1" customHeight="1">
      <c r="A456" s="203" t="str">
        <f>IF(B456&lt;&gt;"",IF(AND(B456&gt;=_TM1,B456&lt;=_TM2,OR(TH!L456="1111",TH!M456="1111")),TH!D456,""),"")</f>
        <v/>
      </c>
      <c r="B456" s="36">
        <f t="shared" si="38"/>
        <v>1</v>
      </c>
      <c r="C456" s="183">
        <f t="shared" si="37"/>
        <v>0</v>
      </c>
      <c r="D456" s="190"/>
      <c r="E456" s="190"/>
      <c r="F456" s="191"/>
      <c r="G456" s="481"/>
      <c r="H456" s="209"/>
      <c r="I456" s="255"/>
      <c r="J456" s="255"/>
      <c r="K456" s="37"/>
      <c r="L456" s="193"/>
      <c r="M456" s="193"/>
      <c r="N456" s="51" t="str">
        <f>IF(AND('331-CT'!$E$7=TH!H572,OR(L456="331",M456="331")),"331",IF(AND(OR(L456="131",M456="131"),H456='131-CT'!$E$7),"131",""))</f>
        <v/>
      </c>
      <c r="O456" s="891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IF(OR(TH!L572=TH!$W$7,M456=TH!$W$7),"x","")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IF(AND(OR(LEFT(TH!L572,2)="15",LEFT(TH!M572,2)="15"),'152-CT'!$J$8=TH!F572),"x","")</f>
        <v/>
      </c>
      <c r="Z456" s="51" t="str">
        <f>IF(AND(OR(LEFT(TH!L572,2)="15",LEFT(TH!M572,2)="15"),TK!$E$7=TH!F572),"x","")</f>
        <v/>
      </c>
      <c r="AA456" s="51" t="str">
        <f>IF(AND(B456&lt;=NKC!$N$8,B456&gt;=NKC!$M$8),"x","")</f>
        <v/>
      </c>
      <c r="AB456" s="923"/>
      <c r="AF456" s="210"/>
      <c r="AG456" s="210"/>
    </row>
    <row r="457" spans="1:33" s="589" customFormat="1" ht="15.75" hidden="1" customHeight="1">
      <c r="A457" s="203" t="str">
        <f>IF(B457&lt;&gt;"",IF(AND(B457&gt;=_TM1,B457&lt;=_TM2,OR(TH!L457="1111",TH!M457="1111")),TH!D457,""),"")</f>
        <v/>
      </c>
      <c r="B457" s="36">
        <f t="shared" si="38"/>
        <v>1</v>
      </c>
      <c r="C457" s="183">
        <f t="shared" si="37"/>
        <v>0</v>
      </c>
      <c r="D457" s="190"/>
      <c r="E457" s="190"/>
      <c r="F457" s="191"/>
      <c r="G457" s="191"/>
      <c r="H457" s="209"/>
      <c r="I457" s="256"/>
      <c r="J457" s="256"/>
      <c r="K457" s="37"/>
      <c r="L457" s="193"/>
      <c r="M457" s="193"/>
      <c r="N457" s="51" t="str">
        <f>IF(AND('331-CT'!$E$7=TH!H573,OR(L457="331",M457="331")),"331",IF(AND(OR(L457="131",M457="131"),H457='131-CT'!$E$7),"131",""))</f>
        <v/>
      </c>
      <c r="O457" s="891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IF(OR(TH!L573=TH!$W$7,M457=TH!$W$7),"x","")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IF(AND(OR(LEFT(TH!L573,2)="15",LEFT(TH!M573,2)="15"),'152-CT'!$J$8=TH!F573),"x","")</f>
        <v/>
      </c>
      <c r="Z457" s="51" t="str">
        <f>IF(AND(OR(LEFT(TH!L573,2)="15",LEFT(TH!M573,2)="15"),TK!$E$7=TH!F573),"x","")</f>
        <v/>
      </c>
      <c r="AA457" s="51" t="str">
        <f>IF(AND(B457&lt;=NKC!$N$8,B457&gt;=NKC!$M$8),"x","")</f>
        <v/>
      </c>
      <c r="AB457" s="923"/>
      <c r="AF457" s="210"/>
      <c r="AG457" s="210"/>
    </row>
    <row r="458" spans="1:33" s="589" customFormat="1" ht="15.75" hidden="1" customHeight="1">
      <c r="A458" s="203" t="str">
        <f>IF(B458&lt;&gt;"",IF(AND(B458&gt;=_TM1,B458&lt;=_TM2,OR(TH!L458="1111",TH!M458="1111")),TH!D458,""),"")</f>
        <v/>
      </c>
      <c r="B458" s="36">
        <f t="shared" si="38"/>
        <v>1</v>
      </c>
      <c r="C458" s="183">
        <f t="shared" si="37"/>
        <v>0</v>
      </c>
      <c r="D458" s="190"/>
      <c r="E458" s="190"/>
      <c r="F458" s="191"/>
      <c r="G458" s="191"/>
      <c r="H458" s="209"/>
      <c r="I458" s="255"/>
      <c r="J458" s="255"/>
      <c r="K458" s="37"/>
      <c r="L458" s="193"/>
      <c r="M458" s="193"/>
      <c r="N458" s="51" t="str">
        <f>IF(AND('331-CT'!$E$7=TH!H574,OR(L458="331",M458="331")),"331",IF(AND(OR(L458="131",M458="131"),H458='131-CT'!$E$7),"131",""))</f>
        <v/>
      </c>
      <c r="O458" s="891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IF(OR(TH!L574=TH!$W$7,M458=TH!$W$7),"x","")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IF(AND(OR(LEFT(TH!L574,2)="15",LEFT(TH!M574,2)="15"),'152-CT'!$J$8=TH!F574),"x","")</f>
        <v/>
      </c>
      <c r="Z458" s="51" t="str">
        <f>IF(AND(OR(LEFT(TH!L574,2)="15",LEFT(TH!M574,2)="15"),TK!$E$7=TH!F574),"x","")</f>
        <v/>
      </c>
      <c r="AA458" s="51" t="str">
        <f>IF(AND(B458&lt;=NKC!$N$8,B458&gt;=NKC!$M$8),"x","")</f>
        <v/>
      </c>
      <c r="AB458" s="923"/>
      <c r="AF458" s="210"/>
      <c r="AG458" s="210"/>
    </row>
    <row r="459" spans="1:33" s="589" customFormat="1" ht="15.75" hidden="1" customHeight="1">
      <c r="A459" s="203" t="str">
        <f>IF(B459&lt;&gt;"",IF(AND(B459&gt;=_TM1,B459&lt;=_TM2,OR(TH!L459="1111",TH!M459="1111")),TH!D459,""),"")</f>
        <v/>
      </c>
      <c r="B459" s="36">
        <f t="shared" si="38"/>
        <v>1</v>
      </c>
      <c r="C459" s="183">
        <f t="shared" si="37"/>
        <v>0</v>
      </c>
      <c r="D459" s="190"/>
      <c r="E459" s="190"/>
      <c r="F459" s="191"/>
      <c r="G459" s="191"/>
      <c r="H459" s="192"/>
      <c r="I459" s="255"/>
      <c r="J459" s="255"/>
      <c r="K459" s="37"/>
      <c r="L459" s="193"/>
      <c r="M459" s="193"/>
      <c r="N459" s="51" t="str">
        <f>IF(AND('331-CT'!$E$7=TH!H575,OR(L459="331",M459="331")),"331",IF(AND(OR(L459="131",M459="131"),H459='131-CT'!$E$7),"131",""))</f>
        <v/>
      </c>
      <c r="O459" s="891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IF(OR(TH!L575=TH!$W$7,M459=TH!$W$7),"x","")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IF(AND(OR(LEFT(TH!L575,2)="15",LEFT(TH!M575,2)="15"),'152-CT'!$J$8=TH!F575),"x","")</f>
        <v/>
      </c>
      <c r="Z459" s="51" t="str">
        <f>IF(AND(OR(LEFT(TH!L575,2)="15",LEFT(TH!M575,2)="15"),TK!$E$7=TH!F575),"x","")</f>
        <v/>
      </c>
      <c r="AA459" s="51" t="str">
        <f>IF(AND(B459&lt;=NKC!$N$8,B459&gt;=NKC!$M$8),"x","")</f>
        <v/>
      </c>
      <c r="AB459" s="923"/>
      <c r="AF459" s="210"/>
      <c r="AG459" s="210"/>
    </row>
    <row r="460" spans="1:33" s="589" customFormat="1" ht="15.75" hidden="1" customHeight="1">
      <c r="A460" s="203" t="str">
        <f>IF(B460&lt;&gt;"",IF(AND(B460&gt;=_TM1,B460&lt;=_TM2,OR(TH!L460="1111",TH!M460="1111")),TH!D460,""),"")</f>
        <v/>
      </c>
      <c r="B460" s="36">
        <f t="shared" si="38"/>
        <v>1</v>
      </c>
      <c r="C460" s="183">
        <f t="shared" si="37"/>
        <v>0</v>
      </c>
      <c r="D460" s="190"/>
      <c r="E460" s="190"/>
      <c r="F460" s="191"/>
      <c r="G460" s="191"/>
      <c r="H460" s="192"/>
      <c r="I460" s="255"/>
      <c r="J460" s="255"/>
      <c r="K460" s="37"/>
      <c r="L460" s="193"/>
      <c r="M460" s="193"/>
      <c r="N460" s="51" t="str">
        <f>IF(AND('331-CT'!$E$7=TH!H576,OR(L460="331",M460="331")),"331",IF(AND(OR(L460="131",M460="131"),H460='131-CT'!$E$7),"131",""))</f>
        <v/>
      </c>
      <c r="O460" s="891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IF(OR(TH!L576=TH!$W$7,M460=TH!$W$7),"x","")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IF(AND(OR(LEFT(TH!L576,2)="15",LEFT(TH!M576,2)="15"),'152-CT'!$J$8=TH!F576),"x","")</f>
        <v/>
      </c>
      <c r="Z460" s="51" t="str">
        <f>IF(AND(OR(LEFT(TH!L576,2)="15",LEFT(TH!M576,2)="15"),TK!$E$7=TH!F576),"x","")</f>
        <v/>
      </c>
      <c r="AA460" s="51" t="str">
        <f>IF(AND(B460&lt;=NKC!$N$8,B460&gt;=NKC!$M$8),"x","")</f>
        <v/>
      </c>
      <c r="AB460" s="923"/>
      <c r="AF460" s="210"/>
      <c r="AG460" s="210"/>
    </row>
    <row r="461" spans="1:33" s="589" customFormat="1" ht="15.75" hidden="1" customHeight="1">
      <c r="A461" s="203" t="str">
        <f>IF(B461&lt;&gt;"",IF(AND(B461&gt;=_TM1,B461&lt;=_TM2,OR(TH!L461="1111",TH!M461="1111")),TH!D461,""),"")</f>
        <v/>
      </c>
      <c r="B461" s="36">
        <f t="shared" si="38"/>
        <v>1</v>
      </c>
      <c r="C461" s="183">
        <f t="shared" si="37"/>
        <v>0</v>
      </c>
      <c r="D461" s="190"/>
      <c r="E461" s="190"/>
      <c r="F461" s="191"/>
      <c r="G461" s="191"/>
      <c r="H461" s="192"/>
      <c r="I461" s="255"/>
      <c r="J461" s="255"/>
      <c r="K461" s="37"/>
      <c r="L461" s="193"/>
      <c r="M461" s="193"/>
      <c r="N461" s="51" t="str">
        <f>IF(AND('331-CT'!$E$7=TH!H577,OR(L461="331",M461="331")),"331",IF(AND(OR(L461="131",M461="131"),H461='131-CT'!$E$7),"131",""))</f>
        <v/>
      </c>
      <c r="O461" s="891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IF(OR(TH!L577=TH!$W$7,M461=TH!$W$7),"x","")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IF(AND(OR(LEFT(TH!L577,2)="15",LEFT(TH!M577,2)="15"),'152-CT'!$J$8=TH!F577),"x","")</f>
        <v/>
      </c>
      <c r="Z461" s="51" t="str">
        <f>IF(AND(OR(LEFT(TH!L577,2)="15",LEFT(TH!M577,2)="15"),TK!$E$7=TH!F577),"x","")</f>
        <v/>
      </c>
      <c r="AA461" s="51" t="str">
        <f>IF(AND(B461&lt;=NKC!$N$8,B461&gt;=NKC!$M$8),"x","")</f>
        <v/>
      </c>
      <c r="AB461" s="923"/>
      <c r="AF461" s="210"/>
      <c r="AG461" s="210"/>
    </row>
    <row r="462" spans="1:33" s="589" customFormat="1" ht="15.75" hidden="1" customHeight="1">
      <c r="A462" s="203" t="str">
        <f>IF(B462&lt;&gt;"",IF(AND(B462&gt;=_TM1,B462&lt;=_TM2,OR(TH!L462="1111",TH!M462="1111")),TH!D462,""),"")</f>
        <v/>
      </c>
      <c r="B462" s="36">
        <f t="shared" si="38"/>
        <v>1</v>
      </c>
      <c r="C462" s="183">
        <f t="shared" si="37"/>
        <v>0</v>
      </c>
      <c r="D462" s="190"/>
      <c r="E462" s="190"/>
      <c r="F462" s="191"/>
      <c r="G462" s="191"/>
      <c r="H462" s="192"/>
      <c r="I462" s="255"/>
      <c r="J462" s="255"/>
      <c r="K462" s="37"/>
      <c r="L462" s="193"/>
      <c r="M462" s="193"/>
      <c r="N462" s="51" t="str">
        <f>IF(AND('331-CT'!$E$7=TH!H578,OR(L462="331",M462="331")),"331",IF(AND(OR(L462="131",M462="131"),H462='131-CT'!$E$7),"131",""))</f>
        <v/>
      </c>
      <c r="O462" s="891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IF(OR(TH!L578=TH!$W$7,M462=TH!$W$7),"x","")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IF(AND(OR(LEFT(TH!L578,2)="15",LEFT(TH!M578,2)="15"),'152-CT'!$J$8=TH!F578),"x","")</f>
        <v/>
      </c>
      <c r="Z462" s="51" t="str">
        <f>IF(AND(OR(LEFT(TH!L578,2)="15",LEFT(TH!M578,2)="15"),TK!$E$7=TH!F578),"x","")</f>
        <v/>
      </c>
      <c r="AA462" s="51" t="str">
        <f>IF(AND(B462&lt;=NKC!$N$8,B462&gt;=NKC!$M$8),"x","")</f>
        <v/>
      </c>
      <c r="AB462" s="923"/>
      <c r="AF462" s="210"/>
      <c r="AG462" s="210"/>
    </row>
    <row r="463" spans="1:33" s="589" customFormat="1" ht="15.75" hidden="1" customHeight="1">
      <c r="A463" s="203" t="str">
        <f>IF(B463&lt;&gt;"",IF(AND(B463&gt;=_TM1,B463&lt;=_TM2,OR(TH!L463="1111",TH!M463="1111")),TH!D463,""),"")</f>
        <v/>
      </c>
      <c r="B463" s="36" t="str">
        <f t="shared" si="38"/>
        <v/>
      </c>
      <c r="C463" s="183"/>
      <c r="D463" s="190"/>
      <c r="E463" s="190"/>
      <c r="F463" s="191"/>
      <c r="G463" s="191"/>
      <c r="H463" s="192"/>
      <c r="I463" s="255"/>
      <c r="J463" s="255"/>
      <c r="K463" s="37"/>
      <c r="L463" s="193"/>
      <c r="M463" s="193"/>
      <c r="N463" s="51" t="str">
        <f>IF(AND('331-CT'!$E$7=TH!H579,OR(L463="331",M463="331")),"331",IF(AND(OR(L463="131",M463="131"),H463='131-CT'!$E$7),"131",""))</f>
        <v/>
      </c>
      <c r="O463" s="891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IF(OR(TH!L579=TH!$W$7,M463=TH!$W$7),"x","")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IF(AND(OR(LEFT(TH!L579,2)="15",LEFT(TH!M579,2)="15"),'152-CT'!$J$8=TH!F579),"x","")</f>
        <v/>
      </c>
      <c r="Z463" s="51" t="str">
        <f>IF(AND(OR(LEFT(TH!L579,2)="15",LEFT(TH!M579,2)="15"),TK!$E$7=TH!F579),"x","")</f>
        <v/>
      </c>
      <c r="AA463" s="51" t="str">
        <f>IF(AND(B463&lt;=NKC!$N$8,B463&gt;=NKC!$M$8),"x","")</f>
        <v/>
      </c>
      <c r="AB463" s="923"/>
      <c r="AF463" s="210"/>
      <c r="AG463" s="210"/>
    </row>
    <row r="464" spans="1:33" s="589" customFormat="1" ht="15.75" hidden="1" customHeight="1">
      <c r="A464" s="203" t="str">
        <f>IF(B464&lt;&gt;"",IF(AND(B464&gt;=_TM1,B464&lt;=_TM2,OR(TH!L464="1111",TH!M464="1111")),TH!D464,""),"")</f>
        <v/>
      </c>
      <c r="B464" s="36" t="str">
        <f t="shared" si="38"/>
        <v/>
      </c>
      <c r="C464" s="183"/>
      <c r="D464" s="190"/>
      <c r="E464" s="190"/>
      <c r="F464" s="191"/>
      <c r="G464" s="191"/>
      <c r="H464" s="192"/>
      <c r="I464" s="255"/>
      <c r="J464" s="255"/>
      <c r="K464" s="37"/>
      <c r="L464" s="193"/>
      <c r="M464" s="193"/>
      <c r="N464" s="51" t="str">
        <f>IF(AND('331-CT'!$E$7=TH!H580,OR(L464="331",M464="331")),"331",IF(AND(OR(L464="131",M464="131"),H464='131-CT'!$E$7),"131",""))</f>
        <v/>
      </c>
      <c r="O464" s="891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IF(OR(TH!L580=TH!$W$7,M464=TH!$W$7),"x","")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IF(AND(OR(LEFT(TH!L580,2)="15",LEFT(TH!M580,2)="15"),'152-CT'!$J$8=TH!F580),"x","")</f>
        <v/>
      </c>
      <c r="Z464" s="51" t="str">
        <f>IF(AND(OR(LEFT(TH!L580,2)="15",LEFT(TH!M580,2)="15"),TK!$E$7=TH!F580),"x","")</f>
        <v/>
      </c>
      <c r="AA464" s="51" t="str">
        <f>IF(AND(B464&lt;=NKC!$N$8,B464&gt;=NKC!$M$8),"x","")</f>
        <v/>
      </c>
      <c r="AB464" s="923"/>
      <c r="AF464" s="210"/>
      <c r="AG464" s="210"/>
    </row>
    <row r="465" spans="1:33" s="589" customFormat="1" ht="15.75" hidden="1" customHeight="1">
      <c r="A465" s="203" t="str">
        <f>IF(B465&lt;&gt;"",IF(AND(B465&gt;=_TM1,B465&lt;=_TM2,OR(TH!L465="1111",TH!M465="1111")),TH!D465,""),"")</f>
        <v/>
      </c>
      <c r="B465" s="36" t="str">
        <f t="shared" si="38"/>
        <v/>
      </c>
      <c r="C465" s="183"/>
      <c r="D465" s="190"/>
      <c r="E465" s="190"/>
      <c r="F465" s="191"/>
      <c r="G465" s="481"/>
      <c r="H465" s="192"/>
      <c r="I465" s="255"/>
      <c r="J465" s="255"/>
      <c r="K465" s="37"/>
      <c r="L465" s="193"/>
      <c r="M465" s="193"/>
      <c r="N465" s="51" t="str">
        <f>IF(AND('331-CT'!$E$7=TH!H581,OR(L465="331",M465="331")),"331",IF(AND(OR(L465="131",M465="131"),H465='131-CT'!$E$7),"131",""))</f>
        <v/>
      </c>
      <c r="O465" s="891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IF(OR(TH!L581=TH!$W$7,M465=TH!$W$7),"x","")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IF(AND(OR(LEFT(TH!L581,2)="15",LEFT(TH!M581,2)="15"),'152-CT'!$J$8=TH!F581),"x","")</f>
        <v/>
      </c>
      <c r="Z465" s="51" t="str">
        <f>IF(AND(OR(LEFT(TH!L581,2)="15",LEFT(TH!M581,2)="15"),TK!$E$7=TH!F581),"x","")</f>
        <v/>
      </c>
      <c r="AA465" s="51" t="str">
        <f>IF(AND(B465&lt;=NKC!$N$8,B465&gt;=NKC!$M$8),"x","")</f>
        <v/>
      </c>
      <c r="AB465" s="923"/>
      <c r="AE465" s="210"/>
      <c r="AF465" s="210"/>
      <c r="AG465" s="210"/>
    </row>
    <row r="466" spans="1:33" s="589" customFormat="1" ht="15.75" hidden="1" customHeight="1">
      <c r="A466" s="203" t="str">
        <f>IF(B466&lt;&gt;"",IF(AND(B466&gt;=_TM1,B466&lt;=_TM2,OR(TH!L466="1111",TH!M466="1111")),TH!D466,""),"")</f>
        <v/>
      </c>
      <c r="B466" s="36" t="str">
        <f t="shared" si="38"/>
        <v/>
      </c>
      <c r="C466" s="183"/>
      <c r="D466" s="190"/>
      <c r="E466" s="190"/>
      <c r="F466" s="191"/>
      <c r="G466" s="191"/>
      <c r="H466" s="192"/>
      <c r="I466" s="255"/>
      <c r="J466" s="255"/>
      <c r="K466" s="37"/>
      <c r="L466" s="193"/>
      <c r="M466" s="193"/>
      <c r="N466" s="51" t="str">
        <f>IF(AND('331-CT'!$E$7=TH!H582,OR(L466="331",M466="331")),"331",IF(AND(OR(L466="131",M466="131"),H466='131-CT'!$E$7),"131",""))</f>
        <v/>
      </c>
      <c r="O466" s="891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IF(OR(TH!L582=TH!$W$7,M466=TH!$W$7),"x","")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IF(AND(OR(LEFT(TH!L582,2)="15",LEFT(TH!M582,2)="15"),'152-CT'!$J$8=TH!F582),"x","")</f>
        <v/>
      </c>
      <c r="Z466" s="51" t="str">
        <f>IF(AND(OR(LEFT(TH!L582,2)="15",LEFT(TH!M582,2)="15"),TK!$E$7=TH!F582),"x","")</f>
        <v/>
      </c>
      <c r="AA466" s="51" t="str">
        <f>IF(AND(B466&lt;=NKC!$N$8,B466&gt;=NKC!$M$8),"x","")</f>
        <v/>
      </c>
      <c r="AB466" s="923"/>
      <c r="AE466" s="210"/>
      <c r="AF466" s="210"/>
      <c r="AG466" s="210"/>
    </row>
    <row r="467" spans="1:33" s="589" customFormat="1" ht="15.75" hidden="1" customHeight="1">
      <c r="A467" s="203" t="str">
        <f>IF(B467&lt;&gt;"",IF(AND(B467&gt;=_TM1,B467&lt;=_TM2,OR(TH!L467="1111",TH!M467="1111")),TH!D467,""),"")</f>
        <v/>
      </c>
      <c r="B467" s="36" t="str">
        <f t="shared" si="38"/>
        <v/>
      </c>
      <c r="C467" s="183"/>
      <c r="D467" s="190"/>
      <c r="E467" s="190"/>
      <c r="F467" s="191"/>
      <c r="G467" s="191"/>
      <c r="H467" s="192"/>
      <c r="I467" s="255"/>
      <c r="J467" s="255"/>
      <c r="K467" s="37"/>
      <c r="L467" s="193"/>
      <c r="M467" s="193"/>
      <c r="N467" s="51" t="str">
        <f>IF(AND('331-CT'!$E$7=TH!H583,OR(L467="331",M467="331")),"331",IF(AND(OR(L467="131",M467="131"),H467='131-CT'!$E$7),"131",""))</f>
        <v/>
      </c>
      <c r="O467" s="891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IF(OR(TH!L583=TH!$W$7,M467=TH!$W$7),"x","")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IF(AND(OR(LEFT(TH!L583,2)="15",LEFT(TH!M583,2)="15"),'152-CT'!$J$8=TH!F583),"x","")</f>
        <v/>
      </c>
      <c r="Z467" s="51" t="str">
        <f>IF(AND(OR(LEFT(TH!L583,2)="15",LEFT(TH!M583,2)="15"),TK!$E$7=TH!F583),"x","")</f>
        <v/>
      </c>
      <c r="AA467" s="51" t="str">
        <f>IF(AND(B467&lt;=NKC!$N$8,B467&gt;=NKC!$M$8),"x","")</f>
        <v/>
      </c>
      <c r="AB467" s="923"/>
      <c r="AD467" s="210"/>
      <c r="AE467" s="210"/>
      <c r="AF467" s="210"/>
      <c r="AG467" s="210"/>
    </row>
    <row r="468" spans="1:33" s="589" customFormat="1" ht="15.75" hidden="1" customHeight="1">
      <c r="A468" s="203" t="str">
        <f>IF(B468&lt;&gt;"",IF(AND(B468&gt;=_TM1,B468&lt;=_TM2,OR(TH!L468="1111",TH!M468="1111")),TH!D468,""),"")</f>
        <v/>
      </c>
      <c r="B468" s="36" t="str">
        <f t="shared" si="38"/>
        <v/>
      </c>
      <c r="C468" s="183"/>
      <c r="D468" s="190"/>
      <c r="E468" s="190"/>
      <c r="F468" s="191"/>
      <c r="G468" s="191"/>
      <c r="H468" s="192"/>
      <c r="I468" s="255"/>
      <c r="J468" s="255"/>
      <c r="K468" s="37"/>
      <c r="L468" s="193"/>
      <c r="M468" s="193"/>
      <c r="N468" s="51" t="str">
        <f>IF(AND('331-CT'!$E$7=TH!H584,OR(L468="331",M468="331")),"331",IF(AND(OR(L468="131",M468="131"),H468='131-CT'!$E$7),"131",""))</f>
        <v/>
      </c>
      <c r="O468" s="891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IF(OR(TH!L584=TH!$W$7,M468=TH!$W$7),"x","")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IF(AND(OR(LEFT(TH!L584,2)="15",LEFT(TH!M584,2)="15"),'152-CT'!$J$8=TH!F584),"x","")</f>
        <v/>
      </c>
      <c r="Z468" s="51" t="str">
        <f>IF(AND(OR(LEFT(TH!L584,2)="15",LEFT(TH!M584,2)="15"),TK!$E$7=TH!F584),"x","")</f>
        <v/>
      </c>
      <c r="AA468" s="51" t="str">
        <f>IF(AND(B468&lt;=NKC!$N$8,B468&gt;=NKC!$M$8),"x","")</f>
        <v/>
      </c>
      <c r="AB468" s="923"/>
      <c r="AE468" s="210"/>
      <c r="AF468" s="210"/>
      <c r="AG468" s="210"/>
    </row>
    <row r="469" spans="1:33" s="589" customFormat="1" ht="15.75" hidden="1" customHeight="1">
      <c r="A469" s="203" t="str">
        <f>IF(B469&lt;&gt;"",IF(AND(B469&gt;=_TM1,B469&lt;=_TM2,OR(TH!L469="1111",TH!M469="1111")),TH!D469,""),"")</f>
        <v/>
      </c>
      <c r="B469" s="36" t="str">
        <f t="shared" si="38"/>
        <v/>
      </c>
      <c r="C469" s="183"/>
      <c r="D469" s="190"/>
      <c r="E469" s="190"/>
      <c r="F469" s="191"/>
      <c r="G469" s="481"/>
      <c r="H469" s="192"/>
      <c r="I469" s="255"/>
      <c r="J469" s="255"/>
      <c r="K469" s="37"/>
      <c r="L469" s="193"/>
      <c r="M469" s="193"/>
      <c r="N469" s="51" t="str">
        <f>IF(AND('331-CT'!$E$7=TH!H585,OR(L469="331",M469="331")),"331",IF(AND(OR(L469="131",M469="131"),H469='131-CT'!$E$7),"131",""))</f>
        <v/>
      </c>
      <c r="O469" s="891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IF(OR(TH!L585=TH!$W$7,M469=TH!$W$7),"x","")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IF(AND(OR(LEFT(TH!L585,2)="15",LEFT(TH!M585,2)="15"),'152-CT'!$J$8=TH!F585),"x","")</f>
        <v/>
      </c>
      <c r="Z469" s="51" t="str">
        <f>IF(AND(OR(LEFT(TH!L585,2)="15",LEFT(TH!M585,2)="15"),TK!$E$7=TH!F585),"x","")</f>
        <v/>
      </c>
      <c r="AA469" s="51" t="str">
        <f>IF(AND(B469&lt;=NKC!$N$8,B469&gt;=NKC!$M$8),"x","")</f>
        <v/>
      </c>
      <c r="AB469" s="923"/>
      <c r="AD469" s="210"/>
      <c r="AE469" s="210"/>
      <c r="AF469" s="210"/>
      <c r="AG469" s="210"/>
    </row>
    <row r="470" spans="1:33" s="589" customFormat="1" ht="15.75" hidden="1" customHeight="1">
      <c r="A470" s="203" t="str">
        <f>IF(B470&lt;&gt;"",IF(AND(B470&gt;=_TM1,B470&lt;=_TM2,OR(TH!L470="1111",TH!M470="1111")),TH!D470,""),"")</f>
        <v/>
      </c>
      <c r="B470" s="36" t="str">
        <f t="shared" si="38"/>
        <v/>
      </c>
      <c r="C470" s="183"/>
      <c r="D470" s="190"/>
      <c r="E470" s="190"/>
      <c r="F470" s="191"/>
      <c r="G470" s="191"/>
      <c r="H470" s="192"/>
      <c r="I470" s="255"/>
      <c r="J470" s="255"/>
      <c r="K470" s="37"/>
      <c r="L470" s="193"/>
      <c r="M470" s="193"/>
      <c r="N470" s="51" t="str">
        <f>IF(AND('331-CT'!$E$7=TH!H586,OR(L470="331",M470="331")),"331",IF(AND(OR(L470="131",M470="131"),H470='131-CT'!$E$7),"131",""))</f>
        <v/>
      </c>
      <c r="O470" s="891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IF(OR(TH!L586=TH!$W$7,M470=TH!$W$7),"x","")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IF(AND(OR(LEFT(TH!L586,2)="15",LEFT(TH!M586,2)="15"),'152-CT'!$J$8=TH!F586),"x","")</f>
        <v/>
      </c>
      <c r="Z470" s="51" t="str">
        <f>IF(AND(OR(LEFT(TH!L586,2)="15",LEFT(TH!M586,2)="15"),TK!$E$7=TH!F586),"x","")</f>
        <v/>
      </c>
      <c r="AA470" s="51" t="str">
        <f>IF(AND(B470&lt;=NKC!$N$8,B470&gt;=NKC!$M$8),"x","")</f>
        <v/>
      </c>
      <c r="AB470" s="923"/>
      <c r="AE470" s="210"/>
      <c r="AF470" s="210"/>
      <c r="AG470" s="210"/>
    </row>
    <row r="471" spans="1:33" s="589" customFormat="1" ht="15.75" hidden="1" customHeight="1">
      <c r="A471" s="203" t="str">
        <f>IF(B471&lt;&gt;"",IF(AND(B471&gt;=_TM1,B471&lt;=_TM2,OR(TH!L471="1111",TH!M471="1111")),TH!D471,""),"")</f>
        <v/>
      </c>
      <c r="B471" s="36" t="str">
        <f t="shared" si="38"/>
        <v/>
      </c>
      <c r="C471" s="183"/>
      <c r="D471" s="190"/>
      <c r="E471" s="190"/>
      <c r="F471" s="191"/>
      <c r="G471" s="481"/>
      <c r="H471" s="192"/>
      <c r="I471" s="255"/>
      <c r="J471" s="255"/>
      <c r="K471" s="37"/>
      <c r="L471" s="193"/>
      <c r="M471" s="193"/>
      <c r="N471" s="51" t="str">
        <f>IF(AND('331-CT'!$E$7=TH!H587,OR(L471="331",M471="331")),"331",IF(AND(OR(L471="131",M471="131"),H471='131-CT'!$E$7),"131",""))</f>
        <v/>
      </c>
      <c r="O471" s="891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IF(OR(TH!L587=TH!$W$7,M471=TH!$W$7),"x","")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IF(AND(OR(LEFT(TH!L587,2)="15",LEFT(TH!M587,2)="15"),'152-CT'!$J$8=TH!F587),"x","")</f>
        <v/>
      </c>
      <c r="Z471" s="51" t="str">
        <f>IF(AND(OR(LEFT(TH!L587,2)="15",LEFT(TH!M587,2)="15"),TK!$E$7=TH!F587),"x","")</f>
        <v/>
      </c>
      <c r="AA471" s="51" t="str">
        <f>IF(AND(B471&lt;=NKC!$N$8,B471&gt;=NKC!$M$8),"x","")</f>
        <v/>
      </c>
      <c r="AB471" s="923"/>
      <c r="AD471" s="210"/>
      <c r="AE471" s="210"/>
      <c r="AF471" s="210"/>
      <c r="AG471" s="210"/>
    </row>
    <row r="472" spans="1:33" s="589" customFormat="1" ht="15.75" hidden="1" customHeight="1">
      <c r="A472" s="203" t="str">
        <f>IF(B472&lt;&gt;"",IF(AND(B472&gt;=_TM1,B472&lt;=_TM2,OR(TH!L472="1111",TH!M472="1111")),TH!D472,""),"")</f>
        <v/>
      </c>
      <c r="B472" s="36" t="str">
        <f t="shared" si="38"/>
        <v/>
      </c>
      <c r="C472" s="183"/>
      <c r="D472" s="190"/>
      <c r="E472" s="190"/>
      <c r="F472" s="191"/>
      <c r="G472" s="191"/>
      <c r="H472" s="192"/>
      <c r="I472" s="255"/>
      <c r="J472" s="255"/>
      <c r="K472" s="37"/>
      <c r="L472" s="193"/>
      <c r="M472" s="193"/>
      <c r="N472" s="51" t="str">
        <f>IF(AND('331-CT'!$E$7=TH!H588,OR(L472="331",M472="331")),"331",IF(AND(OR(L472="131",M472="131"),H472='131-CT'!$E$7),"131",""))</f>
        <v/>
      </c>
      <c r="O472" s="891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IF(OR(TH!L588=TH!$W$7,M472=TH!$W$7),"x","")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IF(AND(OR(LEFT(TH!L588,2)="15",LEFT(TH!M588,2)="15"),'152-CT'!$J$8=TH!F588),"x","")</f>
        <v/>
      </c>
      <c r="Z472" s="51" t="str">
        <f>IF(AND(OR(LEFT(TH!L588,2)="15",LEFT(TH!M588,2)="15"),TK!$E$7=TH!F588),"x","")</f>
        <v/>
      </c>
      <c r="AA472" s="51" t="str">
        <f>IF(AND(B472&lt;=NKC!$N$8,B472&gt;=NKC!$M$8),"x","")</f>
        <v/>
      </c>
      <c r="AB472" s="923"/>
      <c r="AE472" s="210"/>
      <c r="AF472" s="210"/>
      <c r="AG472" s="210"/>
    </row>
    <row r="473" spans="1:33" s="589" customFormat="1" ht="15.75" hidden="1" customHeight="1">
      <c r="A473" s="203" t="str">
        <f>IF(B473&lt;&gt;"",IF(AND(B473&gt;=_TM1,B473&lt;=_TM2,OR(TH!L473="1111",TH!M473="1111")),TH!D473,""),"")</f>
        <v/>
      </c>
      <c r="B473" s="36" t="str">
        <f t="shared" si="38"/>
        <v/>
      </c>
      <c r="C473" s="183"/>
      <c r="D473" s="190"/>
      <c r="E473" s="190"/>
      <c r="F473" s="191"/>
      <c r="G473" s="481"/>
      <c r="H473" s="192"/>
      <c r="I473" s="255"/>
      <c r="J473" s="255"/>
      <c r="K473" s="37"/>
      <c r="L473" s="193"/>
      <c r="M473" s="193"/>
      <c r="N473" s="51" t="str">
        <f>IF(AND('331-CT'!$E$7=TH!H589,OR(L473="331",M473="331")),"331",IF(AND(OR(L473="131",M473="131"),H473='131-CT'!$E$7),"131",""))</f>
        <v/>
      </c>
      <c r="O473" s="891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IF(OR(TH!L589=TH!$W$7,M473=TH!$W$7),"x","")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IF(AND(OR(LEFT(TH!L589,2)="15",LEFT(TH!M589,2)="15"),'152-CT'!$J$8=TH!F589),"x","")</f>
        <v/>
      </c>
      <c r="Z473" s="51" t="str">
        <f>IF(AND(OR(LEFT(TH!L589,2)="15",LEFT(TH!M589,2)="15"),TK!$E$7=TH!F589),"x","")</f>
        <v/>
      </c>
      <c r="AA473" s="51" t="str">
        <f>IF(AND(B473&lt;=NKC!$N$8,B473&gt;=NKC!$M$8),"x","")</f>
        <v/>
      </c>
      <c r="AB473" s="923"/>
      <c r="AD473" s="210"/>
      <c r="AF473" s="210"/>
      <c r="AG473" s="210"/>
    </row>
    <row r="474" spans="1:33" s="210" customFormat="1" ht="15.75" hidden="1" customHeight="1">
      <c r="A474" s="203" t="str">
        <f>IF(B474&lt;&gt;"",IF(AND(B474&gt;=_TM1,B474&lt;=_TM2,OR(TH!L474="1111",TH!M474="1111")),TH!D474,""),"")</f>
        <v/>
      </c>
      <c r="B474" s="36" t="str">
        <f t="shared" si="38"/>
        <v/>
      </c>
      <c r="C474" s="183"/>
      <c r="D474" s="190"/>
      <c r="E474" s="190"/>
      <c r="F474" s="191"/>
      <c r="G474" s="191"/>
      <c r="H474" s="192"/>
      <c r="I474" s="255"/>
      <c r="J474" s="255"/>
      <c r="K474" s="37"/>
      <c r="L474" s="193"/>
      <c r="M474" s="193"/>
      <c r="N474" s="51" t="str">
        <f>IF(AND('331-CT'!$E$7=TH!H590,OR(L474="331",M474="331")),"331",IF(AND(OR(L474="131",M474="131"),H474='131-CT'!$E$7),"131",""))</f>
        <v/>
      </c>
      <c r="O474" s="891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IF(OR(TH!L590=TH!$W$7,M474=TH!$W$7),"x","")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IF(AND(OR(LEFT(TH!L590,2)="15",LEFT(TH!M590,2)="15"),'152-CT'!$J$8=TH!F590),"x","")</f>
        <v/>
      </c>
      <c r="Z474" s="51" t="str">
        <f>IF(AND(OR(LEFT(TH!L590,2)="15",LEFT(TH!M590,2)="15"),TK!$E$7=TH!F590),"x","")</f>
        <v/>
      </c>
      <c r="AA474" s="51" t="str">
        <f>IF(AND(B474&lt;=NKC!$N$8,B474&gt;=NKC!$M$8),"x","")</f>
        <v/>
      </c>
      <c r="AB474" s="923"/>
      <c r="AC474" s="589"/>
      <c r="AD474" s="589"/>
      <c r="AE474" s="589"/>
    </row>
    <row r="475" spans="1:33" s="210" customFormat="1" ht="15.75" hidden="1" customHeight="1">
      <c r="A475" s="203" t="str">
        <f>IF(B475&lt;&gt;"",IF(AND(B475&gt;=_TM1,B475&lt;=_TM2,OR(TH!L475="1111",TH!M475="1111")),TH!D475,""),"")</f>
        <v/>
      </c>
      <c r="B475" s="36" t="str">
        <f t="shared" si="38"/>
        <v/>
      </c>
      <c r="C475" s="183"/>
      <c r="D475" s="190"/>
      <c r="E475" s="190"/>
      <c r="F475" s="191"/>
      <c r="G475" s="481"/>
      <c r="H475" s="192"/>
      <c r="I475" s="255"/>
      <c r="J475" s="255"/>
      <c r="K475" s="37"/>
      <c r="L475" s="193"/>
      <c r="M475" s="193"/>
      <c r="N475" s="51" t="str">
        <f>IF(AND('331-CT'!$E$7=TH!H591,OR(L475="331",M475="331")),"331",IF(AND(OR(L475="131",M475="131"),H475='131-CT'!$E$7),"131",""))</f>
        <v/>
      </c>
      <c r="O475" s="891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IF(OR(TH!L591=TH!$W$7,M475=TH!$W$7),"x","")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IF(AND(OR(LEFT(TH!L591,2)="15",LEFT(TH!M591,2)="15"),'152-CT'!$J$8=TH!F591),"x","")</f>
        <v/>
      </c>
      <c r="Z475" s="51" t="str">
        <f>IF(AND(OR(LEFT(TH!L591,2)="15",LEFT(TH!M591,2)="15"),TK!$E$7=TH!F591),"x","")</f>
        <v/>
      </c>
      <c r="AA475" s="51" t="str">
        <f>IF(AND(B475&lt;=NKC!$N$8,B475&gt;=NKC!$M$8),"x","")</f>
        <v/>
      </c>
      <c r="AB475" s="923"/>
      <c r="AC475" s="589"/>
      <c r="AD475" s="589"/>
      <c r="AE475" s="589"/>
    </row>
    <row r="476" spans="1:33" s="589" customFormat="1" ht="15.75" hidden="1" customHeight="1">
      <c r="A476" s="203" t="str">
        <f>IF(B476&lt;&gt;"",IF(AND(B476&gt;=_TM1,B476&lt;=_TM2,OR(TH!L476="1111",TH!M476="1111")),TH!D476,""),"")</f>
        <v/>
      </c>
      <c r="B476" s="36" t="str">
        <f t="shared" si="38"/>
        <v/>
      </c>
      <c r="C476" s="183"/>
      <c r="D476" s="190"/>
      <c r="E476" s="190"/>
      <c r="F476" s="191"/>
      <c r="G476" s="191"/>
      <c r="H476" s="192"/>
      <c r="I476" s="255"/>
      <c r="J476" s="255"/>
      <c r="K476" s="37"/>
      <c r="L476" s="193"/>
      <c r="M476" s="193"/>
      <c r="N476" s="51" t="str">
        <f>IF(AND('331-CT'!$E$7=TH!H592,OR(L476="331",M476="331")),"331",IF(AND(OR(L476="131",M476="131"),H476='131-CT'!$E$7),"131",""))</f>
        <v/>
      </c>
      <c r="O476" s="891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IF(OR(TH!L592=TH!$W$7,M476=TH!$W$7),"x","")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IF(AND(OR(LEFT(TH!L592,2)="15",LEFT(TH!M592,2)="15"),'152-CT'!$J$8=TH!F592),"x","")</f>
        <v/>
      </c>
      <c r="Z476" s="51" t="str">
        <f>IF(AND(OR(LEFT(TH!L592,2)="15",LEFT(TH!M592,2)="15"),TK!$E$7=TH!F592),"x","")</f>
        <v/>
      </c>
      <c r="AA476" s="51" t="str">
        <f>IF(AND(B476&lt;=NKC!$N$8,B476&gt;=NKC!$M$8),"x","")</f>
        <v/>
      </c>
      <c r="AB476" s="923"/>
      <c r="AF476" s="210"/>
      <c r="AG476" s="210"/>
    </row>
    <row r="477" spans="1:33" s="589" customFormat="1" ht="15.75" hidden="1" customHeight="1">
      <c r="A477" s="203" t="str">
        <f>IF(B477&lt;&gt;"",IF(AND(B477&gt;=_TM1,B477&lt;=_TM2,OR(TH!L477="1111",TH!M477="1111")),TH!D477,""),"")</f>
        <v/>
      </c>
      <c r="B477" s="36" t="str">
        <f t="shared" si="38"/>
        <v/>
      </c>
      <c r="C477" s="183"/>
      <c r="D477" s="190"/>
      <c r="E477" s="190"/>
      <c r="F477" s="191"/>
      <c r="G477" s="191"/>
      <c r="H477" s="192"/>
      <c r="I477" s="257"/>
      <c r="J477" s="257"/>
      <c r="K477" s="37"/>
      <c r="L477" s="193"/>
      <c r="M477" s="193"/>
      <c r="N477" s="51" t="str">
        <f>IF(AND('331-CT'!$E$7=TH!H593,OR(L477="331",M477="331")),"331",IF(AND(OR(L477="131",M477="131"),H477='131-CT'!$E$7),"131",""))</f>
        <v/>
      </c>
      <c r="O477" s="891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IF(OR(TH!L593=TH!$W$7,M477=TH!$W$7),"x","")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IF(AND(OR(LEFT(TH!L593,2)="15",LEFT(TH!M593,2)="15"),'152-CT'!$J$8=TH!F593),"x","")</f>
        <v/>
      </c>
      <c r="Z477" s="51" t="str">
        <f>IF(AND(OR(LEFT(TH!L593,2)="15",LEFT(TH!M593,2)="15"),TK!$E$7=TH!F593),"x","")</f>
        <v/>
      </c>
      <c r="AA477" s="51" t="str">
        <f>IF(AND(B477&lt;=NKC!$N$8,B477&gt;=NKC!$M$8),"x","")</f>
        <v/>
      </c>
      <c r="AB477" s="923"/>
      <c r="AF477" s="210"/>
      <c r="AG477" s="210"/>
    </row>
    <row r="478" spans="1:33" s="589" customFormat="1" ht="15.75" hidden="1" customHeight="1">
      <c r="A478" s="203" t="str">
        <f>IF(B478&lt;&gt;"",IF(AND(B478&gt;=_TM1,B478&lt;=_TM2,OR(TH!L478="1111",TH!M478="1111")),TH!D478,""),"")</f>
        <v/>
      </c>
      <c r="B478" s="36" t="str">
        <f t="shared" si="38"/>
        <v/>
      </c>
      <c r="C478" s="183"/>
      <c r="D478" s="190"/>
      <c r="E478" s="190"/>
      <c r="F478" s="191"/>
      <c r="G478" s="481"/>
      <c r="H478" s="209"/>
      <c r="I478" s="255"/>
      <c r="J478" s="255"/>
      <c r="K478" s="37"/>
      <c r="L478" s="193"/>
      <c r="M478" s="193"/>
      <c r="N478" s="51" t="str">
        <f>IF(AND('331-CT'!$E$7=TH!H594,OR(L478="331",M478="331")),"331",IF(AND(OR(L478="131",M478="131"),H478='131-CT'!$E$7),"131",""))</f>
        <v/>
      </c>
      <c r="O478" s="891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IF(OR(TH!L594=TH!$W$7,M478=TH!$W$7),"x","")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IF(AND(OR(LEFT(TH!L594,2)="15",LEFT(TH!M594,2)="15"),'152-CT'!$J$8=TH!F594),"x","")</f>
        <v/>
      </c>
      <c r="Z478" s="51" t="str">
        <f>IF(AND(OR(LEFT(TH!L594,2)="15",LEFT(TH!M594,2)="15"),TK!$E$7=TH!F594),"x","")</f>
        <v/>
      </c>
      <c r="AA478" s="51" t="str">
        <f>IF(AND(B478&lt;=NKC!$N$8,B478&gt;=NKC!$M$8),"x","")</f>
        <v/>
      </c>
      <c r="AB478" s="923"/>
      <c r="AF478" s="210"/>
      <c r="AG478" s="210"/>
    </row>
    <row r="479" spans="1:33" s="589" customFormat="1" ht="15.75" hidden="1" customHeight="1">
      <c r="A479" s="203" t="str">
        <f>IF(B479&lt;&gt;"",IF(AND(B479&gt;=_TM1,B479&lt;=_TM2,OR(TH!L479="1111",TH!M479="1111")),TH!D479,""),"")</f>
        <v/>
      </c>
      <c r="B479" s="36" t="str">
        <f t="shared" si="38"/>
        <v/>
      </c>
      <c r="C479" s="183"/>
      <c r="D479" s="190"/>
      <c r="E479" s="190"/>
      <c r="F479" s="191"/>
      <c r="G479" s="191"/>
      <c r="H479" s="209"/>
      <c r="I479" s="257"/>
      <c r="J479" s="257"/>
      <c r="K479" s="37"/>
      <c r="L479" s="193"/>
      <c r="M479" s="193"/>
      <c r="N479" s="51" t="str">
        <f>IF(AND('331-CT'!$E$7=TH!H595,OR(L479="331",M479="331")),"331",IF(AND(OR(L479="131",M479="131"),H479='131-CT'!$E$7),"131",""))</f>
        <v/>
      </c>
      <c r="O479" s="891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IF(OR(TH!L595=TH!$W$7,M479=TH!$W$7),"x","")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IF(AND(OR(LEFT(TH!L595,2)="15",LEFT(TH!M595,2)="15"),'152-CT'!$J$8=TH!F595),"x","")</f>
        <v/>
      </c>
      <c r="Z479" s="51" t="str">
        <f>IF(AND(OR(LEFT(TH!L595,2)="15",LEFT(TH!M595,2)="15"),TK!$E$7=TH!F595),"x","")</f>
        <v/>
      </c>
      <c r="AA479" s="51" t="str">
        <f>IF(AND(B479&lt;=NKC!$N$8,B479&gt;=NKC!$M$8),"x","")</f>
        <v/>
      </c>
      <c r="AB479" s="923"/>
      <c r="AF479" s="210"/>
      <c r="AG479" s="210"/>
    </row>
    <row r="480" spans="1:33" s="589" customFormat="1" ht="15.75" hidden="1" customHeight="1">
      <c r="A480" s="203" t="str">
        <f>IF(B480&lt;&gt;"",IF(AND(B480&gt;=_TM1,B480&lt;=_TM2,OR(TH!L480="1111",TH!M480="1111")),TH!D480,""),"")</f>
        <v/>
      </c>
      <c r="B480" s="36" t="str">
        <f t="shared" si="38"/>
        <v/>
      </c>
      <c r="C480" s="183"/>
      <c r="D480" s="190"/>
      <c r="E480" s="190"/>
      <c r="F480" s="191"/>
      <c r="G480" s="481"/>
      <c r="H480" s="209"/>
      <c r="I480" s="255"/>
      <c r="J480" s="255"/>
      <c r="K480" s="37"/>
      <c r="L480" s="193"/>
      <c r="M480" s="193"/>
      <c r="N480" s="51" t="str">
        <f>IF(AND('331-CT'!$E$7=TH!H596,OR(L480="331",M480="331")),"331",IF(AND(OR(L480="131",M480="131"),H480='131-CT'!$E$7),"131",""))</f>
        <v/>
      </c>
      <c r="O480" s="891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IF(OR(TH!L596=TH!$W$7,M480=TH!$W$7),"x","")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IF(AND(OR(LEFT(TH!L596,2)="15",LEFT(TH!M596,2)="15"),'152-CT'!$J$8=TH!F596),"x","")</f>
        <v/>
      </c>
      <c r="Z480" s="51" t="str">
        <f>IF(AND(OR(LEFT(TH!L596,2)="15",LEFT(TH!M596,2)="15"),TK!$E$7=TH!F596),"x","")</f>
        <v/>
      </c>
      <c r="AA480" s="51" t="str">
        <f>IF(AND(B480&lt;=NKC!$N$8,B480&gt;=NKC!$M$8),"x","")</f>
        <v/>
      </c>
      <c r="AB480" s="923"/>
      <c r="AF480" s="210"/>
      <c r="AG480" s="210"/>
    </row>
    <row r="481" spans="1:33" s="210" customFormat="1" ht="15.75" hidden="1" customHeight="1">
      <c r="A481" s="203" t="str">
        <f>IF(B481&lt;&gt;"",IF(AND(B481&gt;=_TM1,B481&lt;=_TM2,OR(TH!L481="1111",TH!M481="1111")),TH!D481,""),"")</f>
        <v/>
      </c>
      <c r="B481" s="36" t="str">
        <f t="shared" si="38"/>
        <v/>
      </c>
      <c r="C481" s="183"/>
      <c r="D481" s="190"/>
      <c r="E481" s="190"/>
      <c r="F481" s="191"/>
      <c r="G481" s="191"/>
      <c r="H481" s="209"/>
      <c r="I481" s="255"/>
      <c r="J481" s="255"/>
      <c r="K481" s="37"/>
      <c r="L481" s="193"/>
      <c r="M481" s="193"/>
      <c r="N481" s="51" t="str">
        <f>IF(AND('331-CT'!$E$7=TH!H597,OR(L481="331",M481="331")),"331",IF(AND(OR(L481="131",M481="131"),H481='131-CT'!$E$7),"131",""))</f>
        <v/>
      </c>
      <c r="O481" s="891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IF(OR(TH!L597=TH!$W$7,M481=TH!$W$7),"x","")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IF(AND(OR(LEFT(TH!L597,2)="15",LEFT(TH!M597,2)="15"),'152-CT'!$J$8=TH!F597),"x","")</f>
        <v/>
      </c>
      <c r="Z481" s="51" t="str">
        <f>IF(AND(OR(LEFT(TH!L597,2)="15",LEFT(TH!M597,2)="15"),TK!$E$7=TH!F597),"x","")</f>
        <v/>
      </c>
      <c r="AA481" s="51" t="str">
        <f>IF(AND(B481&lt;=NKC!$N$8,B481&gt;=NKC!$M$8),"x","")</f>
        <v/>
      </c>
      <c r="AB481" s="923"/>
      <c r="AC481" s="589"/>
      <c r="AD481" s="589"/>
      <c r="AE481" s="589"/>
    </row>
    <row r="482" spans="1:33" s="210" customFormat="1" ht="15.75" hidden="1" customHeight="1">
      <c r="A482" s="203" t="str">
        <f>IF(B482&lt;&gt;"",IF(AND(B482&gt;=_TM1,B482&lt;=_TM2,OR(TH!L482="1111",TH!M482="1111")),TH!D482,""),"")</f>
        <v/>
      </c>
      <c r="B482" s="36" t="str">
        <f t="shared" si="38"/>
        <v/>
      </c>
      <c r="C482" s="183"/>
      <c r="D482" s="190"/>
      <c r="E482" s="190"/>
      <c r="F482" s="191"/>
      <c r="G482" s="481"/>
      <c r="H482" s="209"/>
      <c r="I482" s="255"/>
      <c r="J482" s="255"/>
      <c r="K482" s="37"/>
      <c r="L482" s="193"/>
      <c r="M482" s="193"/>
      <c r="N482" s="51" t="str">
        <f>IF(AND('331-CT'!$E$7=TH!H598,OR(L482="331",M482="331")),"331",IF(AND(OR(L482="131",M482="131"),H482='131-CT'!$E$7),"131",""))</f>
        <v/>
      </c>
      <c r="O482" s="891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IF(OR(TH!L598=TH!$W$7,M482=TH!$W$7),"x","")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IF(AND(OR(LEFT(TH!L598,2)="15",LEFT(TH!M598,2)="15"),'152-CT'!$J$8=TH!F598),"x","")</f>
        <v/>
      </c>
      <c r="Z482" s="51" t="str">
        <f>IF(AND(OR(LEFT(TH!L598,2)="15",LEFT(TH!M598,2)="15"),TK!$E$7=TH!F598),"x","")</f>
        <v/>
      </c>
      <c r="AA482" s="51" t="str">
        <f>IF(AND(B482&lt;=NKC!$N$8,B482&gt;=NKC!$M$8),"x","")</f>
        <v/>
      </c>
      <c r="AB482" s="923"/>
      <c r="AC482" s="589"/>
      <c r="AD482" s="589"/>
      <c r="AE482" s="589"/>
    </row>
    <row r="483" spans="1:33" s="210" customFormat="1" ht="15.75" hidden="1" customHeight="1">
      <c r="A483" s="203" t="str">
        <f>IF(B483&lt;&gt;"",IF(AND(B483&gt;=_TM1,B483&lt;=_TM2,OR(TH!L483="1111",TH!M483="1111")),TH!D483,""),"")</f>
        <v/>
      </c>
      <c r="B483" s="36" t="str">
        <f t="shared" si="38"/>
        <v/>
      </c>
      <c r="C483" s="183"/>
      <c r="D483" s="190"/>
      <c r="E483" s="190"/>
      <c r="F483" s="191"/>
      <c r="G483" s="191"/>
      <c r="H483" s="209"/>
      <c r="I483" s="255"/>
      <c r="J483" s="255"/>
      <c r="K483" s="37"/>
      <c r="L483" s="193"/>
      <c r="M483" s="193"/>
      <c r="N483" s="51" t="str">
        <f>IF(AND('331-CT'!$E$7=TH!H599,OR(L483="331",M483="331")),"331",IF(AND(OR(L483="131",M483="131"),H483='131-CT'!$E$7),"131",""))</f>
        <v/>
      </c>
      <c r="O483" s="891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IF(OR(TH!L599=TH!$W$7,M483=TH!$W$7),"x","")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IF(AND(OR(LEFT(TH!L599,2)="15",LEFT(TH!M599,2)="15"),'152-CT'!$J$8=TH!F599),"x","")</f>
        <v/>
      </c>
      <c r="Z483" s="51" t="str">
        <f>IF(AND(OR(LEFT(TH!L599,2)="15",LEFT(TH!M599,2)="15"),TK!$E$7=TH!F599),"x","")</f>
        <v/>
      </c>
      <c r="AA483" s="51" t="str">
        <f>IF(AND(B483&lt;=NKC!$N$8,B483&gt;=NKC!$M$8),"x","")</f>
        <v/>
      </c>
      <c r="AB483" s="923"/>
      <c r="AC483" s="589"/>
      <c r="AD483" s="589"/>
    </row>
    <row r="484" spans="1:33" s="210" customFormat="1" ht="15.75" hidden="1" customHeight="1">
      <c r="A484" s="203" t="str">
        <f>IF(B484&lt;&gt;"",IF(AND(B484&gt;=_TM1,B484&lt;=_TM2,OR(TH!L484="1111",TH!M484="1111")),TH!D484,""),"")</f>
        <v/>
      </c>
      <c r="B484" s="36" t="str">
        <f t="shared" si="38"/>
        <v/>
      </c>
      <c r="C484" s="183"/>
      <c r="D484" s="190"/>
      <c r="E484" s="190"/>
      <c r="F484" s="191"/>
      <c r="G484" s="481"/>
      <c r="H484" s="209"/>
      <c r="I484" s="255"/>
      <c r="J484" s="255"/>
      <c r="K484" s="37"/>
      <c r="L484" s="193"/>
      <c r="M484" s="193"/>
      <c r="N484" s="51" t="str">
        <f>IF(AND('331-CT'!$E$7=TH!H600,OR(L484="331",M484="331")),"331",IF(AND(OR(L484="131",M484="131"),H484='131-CT'!$E$7),"131",""))</f>
        <v/>
      </c>
      <c r="O484" s="891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IF(OR(TH!L600=TH!$W$7,M484=TH!$W$7),"x","")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IF(AND(OR(LEFT(TH!L600,2)="15",LEFT(TH!M600,2)="15"),'152-CT'!$J$8=TH!F600),"x","")</f>
        <v/>
      </c>
      <c r="Z484" s="51" t="str">
        <f>IF(AND(OR(LEFT(TH!L600,2)="15",LEFT(TH!M600,2)="15"),TK!$E$7=TH!F600),"x","")</f>
        <v/>
      </c>
      <c r="AA484" s="51" t="str">
        <f>IF(AND(B484&lt;=NKC!$N$8,B484&gt;=NKC!$M$8),"x","")</f>
        <v/>
      </c>
      <c r="AB484" s="923"/>
      <c r="AC484" s="589"/>
      <c r="AD484" s="589"/>
      <c r="AE484" s="589"/>
    </row>
    <row r="485" spans="1:33" s="589" customFormat="1" ht="15.75" hidden="1" customHeight="1">
      <c r="A485" s="203" t="str">
        <f>IF(B485&lt;&gt;"",IF(AND(B485&gt;=_TM1,B485&lt;=_TM2,OR(TH!L485="1111",TH!M485="1111")),TH!D485,""),"")</f>
        <v/>
      </c>
      <c r="B485" s="36" t="str">
        <f t="shared" si="38"/>
        <v/>
      </c>
      <c r="C485" s="183"/>
      <c r="D485" s="190"/>
      <c r="E485" s="190"/>
      <c r="F485" s="191"/>
      <c r="G485" s="191"/>
      <c r="H485" s="209"/>
      <c r="I485" s="256"/>
      <c r="J485" s="256"/>
      <c r="K485" s="37"/>
      <c r="L485" s="193"/>
      <c r="M485" s="193"/>
      <c r="N485" s="51" t="str">
        <f>IF(AND('331-CT'!$E$7=TH!H601,OR(L485="331",M485="331")),"331",IF(AND(OR(L485="131",M485="131"),H485='131-CT'!$E$7),"131",""))</f>
        <v/>
      </c>
      <c r="O485" s="891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IF(OR(TH!L601=TH!$W$7,M485=TH!$W$7),"x","")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IF(AND(OR(LEFT(TH!L601,2)="15",LEFT(TH!M601,2)="15"),'152-CT'!$J$8=TH!F601),"x","")</f>
        <v/>
      </c>
      <c r="Z485" s="51" t="str">
        <f>IF(AND(OR(LEFT(TH!L601,2)="15",LEFT(TH!M601,2)="15"),TK!$E$7=TH!F601),"x","")</f>
        <v/>
      </c>
      <c r="AA485" s="51" t="str">
        <f>IF(AND(B485&lt;=NKC!$N$8,B485&gt;=NKC!$M$8),"x","")</f>
        <v/>
      </c>
      <c r="AB485" s="923"/>
      <c r="AF485" s="210"/>
      <c r="AG485" s="210"/>
    </row>
    <row r="486" spans="1:33" s="589" customFormat="1" ht="15.75" hidden="1" customHeight="1">
      <c r="A486" s="203" t="str">
        <f>IF(B486&lt;&gt;"",IF(AND(B486&gt;=_TM1,B486&lt;=_TM2,OR(TH!L486="1111",TH!M486="1111")),TH!D486,""),"")</f>
        <v/>
      </c>
      <c r="B486" s="36" t="str">
        <f t="shared" si="38"/>
        <v/>
      </c>
      <c r="C486" s="183"/>
      <c r="D486" s="190"/>
      <c r="E486" s="190"/>
      <c r="F486" s="191"/>
      <c r="G486" s="191"/>
      <c r="H486" s="209"/>
      <c r="I486" s="255"/>
      <c r="J486" s="255"/>
      <c r="K486" s="37"/>
      <c r="L486" s="193"/>
      <c r="M486" s="193"/>
      <c r="N486" s="51" t="str">
        <f>IF(AND('331-CT'!$E$7=TH!H602,OR(L486="331",M486="331")),"331",IF(AND(OR(L486="131",M486="131"),H486='131-CT'!$E$7),"131",""))</f>
        <v/>
      </c>
      <c r="O486" s="891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IF(OR(TH!L602=TH!$W$7,M486=TH!$W$7),"x","")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IF(AND(OR(LEFT(TH!L602,2)="15",LEFT(TH!M602,2)="15"),'152-CT'!$J$8=TH!F602),"x","")</f>
        <v/>
      </c>
      <c r="Z486" s="51" t="str">
        <f>IF(AND(OR(LEFT(TH!L602,2)="15",LEFT(TH!M602,2)="15"),TK!$E$7=TH!F602),"x","")</f>
        <v/>
      </c>
      <c r="AA486" s="51" t="str">
        <f>IF(AND(B486&lt;=NKC!$N$8,B486&gt;=NKC!$M$8),"x","")</f>
        <v/>
      </c>
      <c r="AB486" s="923"/>
      <c r="AF486" s="210"/>
      <c r="AG486" s="210"/>
    </row>
    <row r="487" spans="1:33" s="589" customFormat="1" ht="15.75" hidden="1" customHeight="1">
      <c r="A487" s="203" t="str">
        <f>IF(B487&lt;&gt;"",IF(AND(B487&gt;=_TM1,B487&lt;=_TM2,OR(TH!L487="1111",TH!M487="1111")),TH!D487,""),"")</f>
        <v/>
      </c>
      <c r="B487" s="36" t="str">
        <f t="shared" si="38"/>
        <v/>
      </c>
      <c r="C487" s="183"/>
      <c r="D487" s="190"/>
      <c r="E487" s="190"/>
      <c r="F487" s="191"/>
      <c r="G487" s="191"/>
      <c r="H487" s="191"/>
      <c r="I487" s="255"/>
      <c r="J487" s="255"/>
      <c r="K487" s="37"/>
      <c r="L487" s="193"/>
      <c r="M487" s="193"/>
      <c r="N487" s="51" t="str">
        <f>IF(AND('331-CT'!$E$7=TH!H603,OR(L487="331",M487="331")),"331",IF(AND(OR(L487="131",M487="131"),H487='131-CT'!$E$7),"131",""))</f>
        <v/>
      </c>
      <c r="O487" s="891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IF(OR(TH!L603=TH!$W$7,M487=TH!$W$7),"x","")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IF(AND(OR(LEFT(TH!L603,2)="15",LEFT(TH!M603,2)="15"),'152-CT'!$J$8=TH!F603),"x","")</f>
        <v/>
      </c>
      <c r="Z487" s="51" t="str">
        <f>IF(AND(OR(LEFT(TH!L603,2)="15",LEFT(TH!M603,2)="15"),TK!$E$7=TH!F603),"x","")</f>
        <v/>
      </c>
      <c r="AA487" s="51" t="str">
        <f>IF(AND(B487&lt;=NKC!$N$8,B487&gt;=NKC!$M$8),"x","")</f>
        <v/>
      </c>
      <c r="AB487" s="923"/>
      <c r="AF487" s="210"/>
      <c r="AG487" s="210"/>
    </row>
    <row r="488" spans="1:33" s="589" customFormat="1" ht="15.75" hidden="1" customHeight="1">
      <c r="A488" s="203" t="str">
        <f>IF(B488&lt;&gt;"",IF(AND(B488&gt;=_TM1,B488&lt;=_TM2,OR(TH!L488="1111",TH!M488="1111")),TH!D488,""),"")</f>
        <v/>
      </c>
      <c r="B488" s="36" t="str">
        <f t="shared" si="38"/>
        <v/>
      </c>
      <c r="C488" s="183"/>
      <c r="D488" s="190"/>
      <c r="E488" s="190"/>
      <c r="F488" s="191"/>
      <c r="G488" s="481"/>
      <c r="H488" s="7"/>
      <c r="I488" s="256"/>
      <c r="J488" s="257"/>
      <c r="K488" s="37"/>
      <c r="L488" s="193"/>
      <c r="M488" s="193"/>
      <c r="N488" s="51" t="str">
        <f>IF(AND('331-CT'!$E$7=TH!H368,OR(L488="331",M488="331")),"331",IF(AND(OR(L488="131",M488="131"),H488='131-CT'!$E$7),"131",""))</f>
        <v/>
      </c>
      <c r="O488" s="891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IF(OR(TH!L368=TH!$W$7,M488=TH!$W$7),"x","")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IF(AND(OR(LEFT(TH!L368,2)="15",LEFT(TH!M368,2)="15"),'152-CT'!$J$8=TH!F368),"x","")</f>
        <v/>
      </c>
      <c r="Z488" s="51" t="str">
        <f>IF(AND(OR(LEFT(TH!L368,2)="15",LEFT(TH!M368,2)="15"),TK!$E$7=TH!F368),"x","")</f>
        <v/>
      </c>
      <c r="AA488" s="51" t="str">
        <f>IF(AND(B488&lt;=NKC!$N$8,B488&gt;=NKC!$M$8),"x","")</f>
        <v/>
      </c>
      <c r="AB488" s="923"/>
      <c r="AD488" s="210"/>
      <c r="AE488" s="210"/>
    </row>
    <row r="489" spans="1:33" s="589" customFormat="1" ht="15.75" hidden="1" customHeight="1">
      <c r="A489" s="203" t="str">
        <f>IF(B489&lt;&gt;"",IF(AND(B489&gt;=_TM1,B489&lt;=_TM2,OR(TH!L489="1111",TH!M489="1111")),TH!D489,""),"")</f>
        <v/>
      </c>
      <c r="B489" s="36" t="str">
        <f t="shared" si="38"/>
        <v/>
      </c>
      <c r="C489" s="183"/>
      <c r="D489" s="190"/>
      <c r="E489" s="190"/>
      <c r="F489" s="191"/>
      <c r="G489" s="481"/>
      <c r="H489" s="7"/>
      <c r="I489" s="255"/>
      <c r="J489" s="257"/>
      <c r="K489" s="37"/>
      <c r="L489" s="193"/>
      <c r="M489" s="193"/>
      <c r="N489" s="51" t="str">
        <f>IF(AND('331-CT'!$E$7=TH!H369,OR(L489="331",M489="331")),"331",IF(AND(OR(L489="131",M489="131"),H489='131-CT'!$E$7),"131",""))</f>
        <v/>
      </c>
      <c r="O489" s="891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IF(OR(TH!L369=TH!$W$7,M489=TH!$W$7),"x","")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IF(AND(OR(LEFT(TH!L369,2)="15",LEFT(TH!M369,2)="15"),'152-CT'!$J$8=TH!F369),"x","")</f>
        <v/>
      </c>
      <c r="Z489" s="51" t="str">
        <f>IF(AND(OR(LEFT(TH!L369,2)="15",LEFT(TH!M369,2)="15"),TK!$E$7=TH!F369),"x","")</f>
        <v/>
      </c>
      <c r="AA489" s="51" t="str">
        <f>IF(AND(B489&lt;=NKC!$N$8,B489&gt;=NKC!$M$8),"x","")</f>
        <v/>
      </c>
      <c r="AB489" s="923"/>
      <c r="AE489" s="210"/>
    </row>
    <row r="490" spans="1:33" s="589" customFormat="1" ht="15.75" hidden="1" customHeight="1">
      <c r="A490" s="203" t="str">
        <f>IF(B490&lt;&gt;"",IF(AND(B490&gt;=_TM1,B490&lt;=_TM2,OR(TH!L490="1111",TH!M490="1111")),TH!D490,""),"")</f>
        <v/>
      </c>
      <c r="B490" s="36" t="str">
        <f t="shared" si="38"/>
        <v/>
      </c>
      <c r="C490" s="183"/>
      <c r="D490" s="190"/>
      <c r="E490" s="190"/>
      <c r="F490" s="191"/>
      <c r="G490" s="481"/>
      <c r="H490" s="7"/>
      <c r="I490" s="255"/>
      <c r="J490" s="255"/>
      <c r="K490" s="597"/>
      <c r="L490" s="193"/>
      <c r="M490" s="193"/>
      <c r="N490" s="51" t="str">
        <f>IF(AND('331-CT'!$E$7=TH!H370,OR(L490="331",M490="331")),"331",IF(AND(OR(L490="131",M490="131"),H490='131-CT'!$E$7),"131",""))</f>
        <v/>
      </c>
      <c r="O490" s="891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IF(OR(TH!L370=TH!$W$7,M490=TH!$W$7),"x","")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IF(AND(OR(LEFT(TH!L370,2)="15",LEFT(TH!M370,2)="15"),'152-CT'!$J$8=TH!F370),"x","")</f>
        <v/>
      </c>
      <c r="Z490" s="51" t="str">
        <f>IF(AND(OR(LEFT(TH!L370,2)="15",LEFT(TH!M370,2)="15"),TK!$E$7=TH!F370),"x","")</f>
        <v/>
      </c>
      <c r="AA490" s="51" t="str">
        <f>IF(AND(B490&lt;=NKC!$N$8,B490&gt;=NKC!$M$8),"x","")</f>
        <v/>
      </c>
      <c r="AB490" s="923"/>
      <c r="AE490" s="210"/>
    </row>
    <row r="491" spans="1:33" s="589" customFormat="1" ht="15.75" hidden="1" customHeight="1">
      <c r="A491" s="203" t="str">
        <f>IF(B491&lt;&gt;"",IF(AND(B491&gt;=_TM1,B491&lt;=_TM2,OR(TH!L491="1111",TH!M491="1111")),TH!D491,""),"")</f>
        <v/>
      </c>
      <c r="B491" s="36" t="str">
        <f t="shared" si="38"/>
        <v/>
      </c>
      <c r="C491" s="183"/>
      <c r="D491" s="190"/>
      <c r="E491" s="190"/>
      <c r="F491" s="191"/>
      <c r="G491" s="191"/>
      <c r="H491" s="209"/>
      <c r="I491" s="255"/>
      <c r="J491" s="255"/>
      <c r="K491" s="37"/>
      <c r="L491" s="193"/>
      <c r="M491" s="193"/>
      <c r="N491" s="51" t="str">
        <f>IF(AND('331-CT'!$E$7=TH!H604,OR(L491="331",M491="331")),"331",IF(AND(OR(L491="131",M491="131"),H491='131-CT'!$E$7),"131",""))</f>
        <v/>
      </c>
      <c r="O491" s="891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IF(OR(TH!L604=TH!$W$7,M491=TH!$W$7),"x","")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IF(AND(OR(LEFT(TH!L604,2)="15",LEFT(TH!M604,2)="15"),'152-CT'!$J$8=TH!F604),"x","")</f>
        <v/>
      </c>
      <c r="Z491" s="51" t="str">
        <f>IF(AND(OR(LEFT(TH!L604,2)="15",LEFT(TH!M604,2)="15"),TK!$E$7=TH!F604),"x","")</f>
        <v/>
      </c>
      <c r="AA491" s="51" t="str">
        <f>IF(AND(B491&lt;=NKC!$N$8,B491&gt;=NKC!$M$8),"x","")</f>
        <v/>
      </c>
      <c r="AB491" s="923"/>
      <c r="AE491" s="210"/>
      <c r="AF491" s="210"/>
      <c r="AG491" s="210"/>
    </row>
    <row r="492" spans="1:33" s="589" customFormat="1" ht="15.75" hidden="1" customHeight="1">
      <c r="A492" s="203" t="str">
        <f>IF(B492&lt;&gt;"",IF(AND(B492&gt;=_TM1,B492&lt;=_TM2,OR(TH!L492="1111",TH!M492="1111")),TH!D492,""),"")</f>
        <v/>
      </c>
      <c r="B492" s="36" t="str">
        <f t="shared" si="38"/>
        <v/>
      </c>
      <c r="C492" s="183"/>
      <c r="D492" s="190"/>
      <c r="E492" s="190"/>
      <c r="F492" s="191"/>
      <c r="G492" s="191"/>
      <c r="H492" s="209"/>
      <c r="I492" s="255"/>
      <c r="J492" s="255"/>
      <c r="K492" s="37"/>
      <c r="L492" s="193"/>
      <c r="M492" s="193"/>
      <c r="N492" s="51" t="str">
        <f>IF(AND('331-CT'!$E$7=TH!H605,OR(L492="331",M492="331")),"331",IF(AND(OR(L492="131",M492="131"),H492='131-CT'!$E$7),"131",""))</f>
        <v/>
      </c>
      <c r="O492" s="891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IF(OR(TH!L605=TH!$W$7,M492=TH!$W$7),"x","")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IF(AND(OR(LEFT(TH!L605,2)="15",LEFT(TH!M605,2)="15"),'152-CT'!$J$8=TH!F605),"x","")</f>
        <v/>
      </c>
      <c r="Z492" s="51" t="str">
        <f>IF(AND(OR(LEFT(TH!L605,2)="15",LEFT(TH!M605,2)="15"),TK!$E$7=TH!F605),"x","")</f>
        <v/>
      </c>
      <c r="AA492" s="51" t="str">
        <f>IF(AND(B492&lt;=NKC!$N$8,B492&gt;=NKC!$M$8),"x","")</f>
        <v/>
      </c>
      <c r="AB492" s="923"/>
      <c r="AE492" s="210"/>
      <c r="AF492" s="210"/>
      <c r="AG492" s="210"/>
    </row>
    <row r="493" spans="1:33" s="589" customFormat="1" ht="15.75" hidden="1" customHeight="1">
      <c r="A493" s="203" t="str">
        <f>IF(B493&lt;&gt;"",IF(AND(B493&gt;=_TM1,B493&lt;=_TM2,OR(TH!L493="1111",TH!M493="1111")),TH!D493,""),"")</f>
        <v/>
      </c>
      <c r="B493" s="36" t="str">
        <f t="shared" si="38"/>
        <v/>
      </c>
      <c r="C493" s="183"/>
      <c r="D493" s="190"/>
      <c r="E493" s="771"/>
      <c r="F493" s="191"/>
      <c r="G493" s="191"/>
      <c r="H493" s="209"/>
      <c r="I493" s="258"/>
      <c r="J493" s="258"/>
      <c r="K493" s="37"/>
      <c r="L493" s="193"/>
      <c r="M493" s="193"/>
      <c r="N493" s="51" t="str">
        <f>IF(AND('331-CT'!$E$7=TH!H606,OR(L493="331",M493="331")),"331",IF(AND(OR(L493="131",M493="131"),H493='131-CT'!$E$7),"131",""))</f>
        <v/>
      </c>
      <c r="O493" s="891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IF(OR(TH!L606=TH!$W$7,M493=TH!$W$7),"x","")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IF(AND(OR(LEFT(TH!L606,2)="15",LEFT(TH!M606,2)="15"),'152-CT'!$J$8=TH!F606),"x","")</f>
        <v/>
      </c>
      <c r="Z493" s="51" t="str">
        <f>IF(AND(OR(LEFT(TH!L606,2)="15",LEFT(TH!M606,2)="15"),TK!$E$7=TH!F606),"x","")</f>
        <v/>
      </c>
      <c r="AA493" s="51" t="str">
        <f>IF(AND(B493&lt;=NKC!$N$8,B493&gt;=NKC!$M$8),"x","")</f>
        <v/>
      </c>
      <c r="AB493" s="923"/>
      <c r="AE493" s="210"/>
      <c r="AF493" s="210"/>
      <c r="AG493" s="210"/>
    </row>
    <row r="494" spans="1:33" s="589" customFormat="1" ht="15.75" hidden="1" customHeight="1">
      <c r="A494" s="203" t="str">
        <f>IF(B494&lt;&gt;"",IF(AND(B494&gt;=_TM1,B494&lt;=_TM2,OR(TH!L494="1111",TH!M494="1111")),TH!D494,""),"")</f>
        <v/>
      </c>
      <c r="B494" s="36" t="str">
        <f t="shared" si="38"/>
        <v/>
      </c>
      <c r="C494" s="183"/>
      <c r="D494" s="190"/>
      <c r="E494" s="190"/>
      <c r="F494" s="191"/>
      <c r="G494" s="481"/>
      <c r="H494" s="192"/>
      <c r="I494" s="255"/>
      <c r="J494" s="255"/>
      <c r="K494" s="37"/>
      <c r="L494" s="193"/>
      <c r="M494" s="193"/>
      <c r="N494" s="51" t="str">
        <f>IF(AND('331-CT'!$E$7=TH!H607,OR(L494="331",M494="331")),"331",IF(AND(OR(L494="131",M494="131"),H494='131-CT'!$E$7),"131",""))</f>
        <v/>
      </c>
      <c r="O494" s="891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IF(OR(TH!L607=TH!$W$7,M494=TH!$W$7),"x","")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IF(AND(OR(LEFT(TH!L607,2)="15",LEFT(TH!M607,2)="15"),'152-CT'!$J$8=TH!F607),"x","")</f>
        <v/>
      </c>
      <c r="Z494" s="51" t="str">
        <f>IF(AND(OR(LEFT(TH!L607,2)="15",LEFT(TH!M607,2)="15"),TK!$E$7=TH!F607),"x","")</f>
        <v/>
      </c>
      <c r="AA494" s="51" t="str">
        <f>IF(AND(B494&lt;=NKC!$N$8,B494&gt;=NKC!$M$8),"x","")</f>
        <v/>
      </c>
      <c r="AB494" s="923"/>
      <c r="AF494" s="210"/>
      <c r="AG494" s="210"/>
    </row>
    <row r="495" spans="1:33" s="589" customFormat="1" ht="15.75" hidden="1" customHeight="1">
      <c r="A495" s="203" t="str">
        <f>IF(B495&lt;&gt;"",IF(AND(B495&gt;=_TM1,B495&lt;=_TM2,OR(TH!L495="1111",TH!M495="1111")),TH!D495,""),"")</f>
        <v/>
      </c>
      <c r="B495" s="36" t="str">
        <f t="shared" si="38"/>
        <v/>
      </c>
      <c r="C495" s="183"/>
      <c r="D495" s="190"/>
      <c r="E495" s="190"/>
      <c r="F495" s="191"/>
      <c r="G495" s="191"/>
      <c r="H495" s="192"/>
      <c r="I495" s="255"/>
      <c r="J495" s="255"/>
      <c r="K495" s="37"/>
      <c r="L495" s="193"/>
      <c r="M495" s="193"/>
      <c r="N495" s="51" t="str">
        <f>IF(AND('331-CT'!$E$7=TH!H608,OR(L495="331",M495="331")),"331",IF(AND(OR(L495="131",M495="131"),H495='131-CT'!$E$7),"131",""))</f>
        <v/>
      </c>
      <c r="O495" s="891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IF(OR(TH!L608=TH!$W$7,M495=TH!$W$7),"x","")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IF(AND(OR(LEFT(TH!L608,2)="15",LEFT(TH!M608,2)="15"),'152-CT'!$J$8=TH!F608),"x","")</f>
        <v/>
      </c>
      <c r="Z495" s="51" t="str">
        <f>IF(AND(OR(LEFT(TH!L608,2)="15",LEFT(TH!M608,2)="15"),TK!$E$7=TH!F608),"x","")</f>
        <v/>
      </c>
      <c r="AA495" s="51" t="str">
        <f>IF(AND(B495&lt;=NKC!$N$8,B495&gt;=NKC!$M$8),"x","")</f>
        <v/>
      </c>
      <c r="AB495" s="923"/>
      <c r="AF495" s="210"/>
      <c r="AG495" s="210"/>
    </row>
    <row r="496" spans="1:33" s="589" customFormat="1" ht="15.75" hidden="1" customHeight="1">
      <c r="A496" s="203" t="str">
        <f>IF(B496&lt;&gt;"",IF(AND(B496&gt;=_TM1,B496&lt;=_TM2,OR(TH!L496="1111",TH!M496="1111")),TH!D496,""),"")</f>
        <v/>
      </c>
      <c r="B496" s="36" t="str">
        <f t="shared" si="38"/>
        <v/>
      </c>
      <c r="C496" s="183"/>
      <c r="D496" s="190"/>
      <c r="E496" s="190"/>
      <c r="F496" s="191"/>
      <c r="G496" s="481"/>
      <c r="H496" s="192"/>
      <c r="I496" s="255"/>
      <c r="J496" s="255"/>
      <c r="K496" s="37"/>
      <c r="L496" s="193"/>
      <c r="M496" s="193"/>
      <c r="N496" s="51" t="str">
        <f>IF(AND('331-CT'!$E$7=TH!H609,OR(L496="331",M496="331")),"331",IF(AND(OR(L496="131",M496="131"),H496='131-CT'!$E$7),"131",""))</f>
        <v/>
      </c>
      <c r="O496" s="891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IF(OR(TH!L609=TH!$W$7,M496=TH!$W$7),"x","")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IF(AND(OR(LEFT(TH!L609,2)="15",LEFT(TH!M609,2)="15"),'152-CT'!$J$8=TH!F609),"x","")</f>
        <v/>
      </c>
      <c r="Z496" s="51" t="str">
        <f>IF(AND(OR(LEFT(TH!L609,2)="15",LEFT(TH!M609,2)="15"),TK!$E$7=TH!F609),"x","")</f>
        <v/>
      </c>
      <c r="AA496" s="51" t="str">
        <f>IF(AND(B496&lt;=NKC!$N$8,B496&gt;=NKC!$M$8),"x","")</f>
        <v/>
      </c>
      <c r="AB496" s="923"/>
      <c r="AE496" s="210"/>
      <c r="AF496" s="210"/>
      <c r="AG496" s="210"/>
    </row>
    <row r="497" spans="1:33" s="589" customFormat="1" ht="15.75" hidden="1" customHeight="1">
      <c r="A497" s="203" t="str">
        <f>IF(B497&lt;&gt;"",IF(AND(B497&gt;=_TM1,B497&lt;=_TM2,OR(TH!L497="1111",TH!M497="1111")),TH!D497,""),"")</f>
        <v/>
      </c>
      <c r="B497" s="36" t="str">
        <f t="shared" si="38"/>
        <v/>
      </c>
      <c r="C497" s="183"/>
      <c r="D497" s="190"/>
      <c r="E497" s="190"/>
      <c r="F497" s="191"/>
      <c r="G497" s="191"/>
      <c r="H497" s="192"/>
      <c r="I497" s="255"/>
      <c r="J497" s="255"/>
      <c r="K497" s="37"/>
      <c r="L497" s="193"/>
      <c r="M497" s="193"/>
      <c r="N497" s="51" t="str">
        <f>IF(AND('331-CT'!$E$7=TH!H610,OR(L497="331",M497="331")),"331",IF(AND(OR(L497="131",M497="131"),H497='131-CT'!$E$7),"131",""))</f>
        <v/>
      </c>
      <c r="O497" s="891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IF(OR(TH!L610=TH!$W$7,M497=TH!$W$7),"x","")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IF(AND(OR(LEFT(TH!L610,2)="15",LEFT(TH!M610,2)="15"),'152-CT'!$J$8=TH!F610),"x","")</f>
        <v/>
      </c>
      <c r="Z497" s="51" t="str">
        <f>IF(AND(OR(LEFT(TH!L610,2)="15",LEFT(TH!M610,2)="15"),TK!$E$7=TH!F610),"x","")</f>
        <v/>
      </c>
      <c r="AA497" s="51" t="str">
        <f>IF(AND(B497&lt;=NKC!$N$8,B497&gt;=NKC!$M$8),"x","")</f>
        <v/>
      </c>
      <c r="AB497" s="923"/>
      <c r="AE497" s="210"/>
      <c r="AF497" s="210"/>
      <c r="AG497" s="210"/>
    </row>
    <row r="498" spans="1:33" s="589" customFormat="1" ht="15.75" hidden="1" customHeight="1">
      <c r="A498" s="203" t="str">
        <f>IF(B498&lt;&gt;"",IF(AND(B498&gt;=_TM1,B498&lt;=_TM2,OR(TH!L498="1111",TH!M498="1111")),TH!D498,""),"")</f>
        <v/>
      </c>
      <c r="B498" s="36" t="str">
        <f t="shared" si="38"/>
        <v/>
      </c>
      <c r="C498" s="183"/>
      <c r="D498" s="190"/>
      <c r="E498" s="190"/>
      <c r="F498" s="191"/>
      <c r="G498" s="191"/>
      <c r="H498" s="192"/>
      <c r="I498" s="255"/>
      <c r="J498" s="255"/>
      <c r="K498" s="37"/>
      <c r="L498" s="193"/>
      <c r="M498" s="193"/>
      <c r="N498" s="51" t="str">
        <f>IF(AND('331-CT'!$E$7=TH!H611,OR(L498="331",M498="331")),"331",IF(AND(OR(L498="131",M498="131"),H498='131-CT'!$E$7),"131",""))</f>
        <v/>
      </c>
      <c r="O498" s="891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IF(OR(TH!L611=TH!$W$7,M498=TH!$W$7),"x","")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IF(AND(OR(LEFT(TH!L611,2)="15",LEFT(TH!M611,2)="15"),'152-CT'!$J$8=TH!F611),"x","")</f>
        <v/>
      </c>
      <c r="Z498" s="51" t="str">
        <f>IF(AND(OR(LEFT(TH!L611,2)="15",LEFT(TH!M611,2)="15"),TK!$E$7=TH!F611),"x","")</f>
        <v/>
      </c>
      <c r="AA498" s="51" t="str">
        <f>IF(AND(B498&lt;=NKC!$N$8,B498&gt;=NKC!$M$8),"x","")</f>
        <v/>
      </c>
      <c r="AB498" s="923"/>
      <c r="AD498" s="210"/>
      <c r="AE498" s="210"/>
      <c r="AF498" s="210"/>
      <c r="AG498" s="210"/>
    </row>
    <row r="499" spans="1:33" s="589" customFormat="1" ht="15.75" hidden="1" customHeight="1">
      <c r="A499" s="203" t="str">
        <f>IF(B499&lt;&gt;"",IF(AND(B499&gt;=_TM1,B499&lt;=_TM2,OR(TH!L499="1111",TH!M499="1111")),TH!D499,""),"")</f>
        <v/>
      </c>
      <c r="B499" s="36" t="str">
        <f t="shared" si="38"/>
        <v/>
      </c>
      <c r="C499" s="183"/>
      <c r="D499" s="190"/>
      <c r="E499" s="190"/>
      <c r="F499" s="191"/>
      <c r="G499" s="191"/>
      <c r="H499" s="192"/>
      <c r="I499" s="255"/>
      <c r="J499" s="255"/>
      <c r="K499" s="37"/>
      <c r="L499" s="193"/>
      <c r="M499" s="193"/>
      <c r="N499" s="51" t="str">
        <f>IF(AND('331-CT'!$E$7=TH!H612,OR(L499="331",M499="331")),"331",IF(AND(OR(L499="131",M499="131"),H499='131-CT'!$E$7),"131",""))</f>
        <v/>
      </c>
      <c r="O499" s="891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IF(OR(TH!L612=TH!$W$7,M499=TH!$W$7),"x","")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IF(AND(OR(LEFT(TH!L612,2)="15",LEFT(TH!M612,2)="15"),'152-CT'!$J$8=TH!F612),"x","")</f>
        <v/>
      </c>
      <c r="Z499" s="51" t="str">
        <f>IF(AND(OR(LEFT(TH!L612,2)="15",LEFT(TH!M612,2)="15"),TK!$E$7=TH!F612),"x","")</f>
        <v/>
      </c>
      <c r="AA499" s="51" t="str">
        <f>IF(AND(B499&lt;=NKC!$N$8,B499&gt;=NKC!$M$8),"x","")</f>
        <v/>
      </c>
      <c r="AB499" s="923"/>
      <c r="AE499" s="210"/>
      <c r="AF499" s="210"/>
      <c r="AG499" s="210"/>
    </row>
    <row r="500" spans="1:33" s="589" customFormat="1" ht="15.75" hidden="1" customHeight="1">
      <c r="A500" s="203" t="str">
        <f>IF(B500&lt;&gt;"",IF(AND(B500&gt;=_TM1,B500&lt;=_TM2,OR(TH!L500="1111",TH!M500="1111")),TH!D500,""),"")</f>
        <v/>
      </c>
      <c r="B500" s="36" t="str">
        <f t="shared" si="38"/>
        <v/>
      </c>
      <c r="C500" s="183"/>
      <c r="D500" s="190"/>
      <c r="E500" s="190"/>
      <c r="F500" s="191"/>
      <c r="G500" s="191"/>
      <c r="H500" s="209"/>
      <c r="I500" s="256"/>
      <c r="J500" s="256"/>
      <c r="K500" s="37"/>
      <c r="L500" s="193"/>
      <c r="M500" s="193"/>
      <c r="N500" s="51" t="str">
        <f>IF(AND('331-CT'!$E$7=TH!H613,OR(L500="331",M500="331")),"331",IF(AND(OR(L500="131",M500="131"),H500='131-CT'!$E$7),"131",""))</f>
        <v/>
      </c>
      <c r="O500" s="891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IF(OR(TH!L613=TH!$W$7,M500=TH!$W$7),"x","")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IF(AND(OR(LEFT(TH!L613,2)="15",LEFT(TH!M613,2)="15"),'152-CT'!$J$8=TH!F613),"x","")</f>
        <v/>
      </c>
      <c r="Z500" s="51" t="str">
        <f>IF(AND(OR(LEFT(TH!L613,2)="15",LEFT(TH!M613,2)="15"),TK!$E$7=TH!F613),"x","")</f>
        <v/>
      </c>
      <c r="AA500" s="51" t="str">
        <f>IF(AND(B500&lt;=NKC!$N$8,B500&gt;=NKC!$M$8),"x","")</f>
        <v/>
      </c>
      <c r="AB500" s="923"/>
      <c r="AE500" s="210"/>
      <c r="AF500" s="210"/>
      <c r="AG500" s="210"/>
    </row>
    <row r="501" spans="1:33" s="589" customFormat="1" ht="15.75" hidden="1" customHeight="1">
      <c r="A501" s="203" t="str">
        <f>IF(B501&lt;&gt;"",IF(AND(B501&gt;=_TM1,B501&lt;=_TM2,OR(TH!L501="1111",TH!M501="1111")),TH!D501,""),"")</f>
        <v/>
      </c>
      <c r="B501" s="36" t="str">
        <f t="shared" si="38"/>
        <v/>
      </c>
      <c r="C501" s="183"/>
      <c r="D501" s="190"/>
      <c r="E501" s="190"/>
      <c r="F501" s="191"/>
      <c r="G501" s="191"/>
      <c r="H501" s="192"/>
      <c r="I501" s="255"/>
      <c r="J501" s="255"/>
      <c r="K501" s="37"/>
      <c r="L501" s="193"/>
      <c r="M501" s="193"/>
      <c r="N501" s="51" t="str">
        <f>IF(AND('331-CT'!$E$7=TH!H614,OR(L501="331",M501="331")),"331",IF(AND(OR(L501="131",M501="131"),H501='131-CT'!$E$7),"131",""))</f>
        <v/>
      </c>
      <c r="O501" s="891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IF(OR(TH!L614=TH!$W$7,M501=TH!$W$7),"x","")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IF(AND(OR(LEFT(TH!L614,2)="15",LEFT(TH!M614,2)="15"),'152-CT'!$J$8=TH!F614),"x","")</f>
        <v/>
      </c>
      <c r="Z501" s="51" t="str">
        <f>IF(AND(OR(LEFT(TH!L614,2)="15",LEFT(TH!M614,2)="15"),TK!$E$7=TH!F614),"x","")</f>
        <v/>
      </c>
      <c r="AA501" s="51" t="str">
        <f>IF(AND(B501&lt;=NKC!$N$8,B501&gt;=NKC!$M$8),"x","")</f>
        <v/>
      </c>
      <c r="AB501" s="923"/>
      <c r="AE501" s="210"/>
      <c r="AF501" s="210"/>
      <c r="AG501" s="210"/>
    </row>
    <row r="502" spans="1:33" s="589" customFormat="1" ht="15.75" hidden="1" customHeight="1">
      <c r="A502" s="203" t="str">
        <f>IF(B502&lt;&gt;"",IF(AND(B502&gt;=_TM1,B502&lt;=_TM2,OR(TH!L502="1111",TH!M502="1111")),TH!D502,""),"")</f>
        <v/>
      </c>
      <c r="B502" s="36" t="str">
        <f t="shared" si="38"/>
        <v/>
      </c>
      <c r="C502" s="183"/>
      <c r="D502" s="190"/>
      <c r="E502" s="190"/>
      <c r="F502" s="191"/>
      <c r="G502" s="191"/>
      <c r="H502" s="209"/>
      <c r="I502" s="256"/>
      <c r="J502" s="256"/>
      <c r="K502" s="37"/>
      <c r="L502" s="193"/>
      <c r="M502" s="193"/>
      <c r="N502" s="51" t="str">
        <f>IF(AND('331-CT'!$E$7=TH!H615,OR(L502="331",M502="331")),"331",IF(AND(OR(L502="131",M502="131"),H502='131-CT'!$E$7),"131",""))</f>
        <v/>
      </c>
      <c r="O502" s="891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IF(OR(TH!L615=TH!$W$7,M502=TH!$W$7),"x","")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IF(AND(OR(LEFT(TH!L615,2)="15",LEFT(TH!M615,2)="15"),'152-CT'!$J$8=TH!F615),"x","")</f>
        <v/>
      </c>
      <c r="Z502" s="51" t="str">
        <f>IF(AND(OR(LEFT(TH!L615,2)="15",LEFT(TH!M615,2)="15"),TK!$E$7=TH!F615),"x","")</f>
        <v/>
      </c>
      <c r="AA502" s="51" t="str">
        <f>IF(AND(B502&lt;=NKC!$N$8,B502&gt;=NKC!$M$8),"x","")</f>
        <v/>
      </c>
      <c r="AB502" s="923"/>
      <c r="AE502" s="210"/>
      <c r="AF502" s="210"/>
      <c r="AG502" s="210"/>
    </row>
    <row r="503" spans="1:33" s="589" customFormat="1" ht="15.75" hidden="1" customHeight="1">
      <c r="A503" s="203" t="str">
        <f>IF(B503&lt;&gt;"",IF(AND(B503&gt;=_TM1,B503&lt;=_TM2,OR(TH!L503="1111",TH!M503="1111")),TH!D503,""),"")</f>
        <v/>
      </c>
      <c r="B503" s="36" t="str">
        <f t="shared" si="38"/>
        <v/>
      </c>
      <c r="C503" s="183"/>
      <c r="D503" s="190"/>
      <c r="E503" s="190"/>
      <c r="F503" s="191"/>
      <c r="G503" s="191"/>
      <c r="H503" s="192"/>
      <c r="I503" s="255"/>
      <c r="J503" s="255"/>
      <c r="K503" s="37"/>
      <c r="L503" s="193"/>
      <c r="M503" s="193"/>
      <c r="N503" s="51" t="str">
        <f>IF(AND('331-CT'!$E$7=TH!H616,OR(L503="331",M503="331")),"331",IF(AND(OR(L503="131",M503="131"),H503='131-CT'!$E$7),"131",""))</f>
        <v/>
      </c>
      <c r="O503" s="891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IF(OR(TH!L616=TH!$W$7,M503=TH!$W$7),"x","")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IF(AND(OR(LEFT(TH!L616,2)="15",LEFT(TH!M616,2)="15"),'152-CT'!$J$8=TH!F616),"x","")</f>
        <v/>
      </c>
      <c r="Z503" s="51" t="str">
        <f>IF(AND(OR(LEFT(TH!L616,2)="15",LEFT(TH!M616,2)="15"),TK!$E$7=TH!F616),"x","")</f>
        <v/>
      </c>
      <c r="AA503" s="51" t="str">
        <f>IF(AND(B503&lt;=NKC!$N$8,B503&gt;=NKC!$M$8),"x","")</f>
        <v/>
      </c>
      <c r="AB503" s="923"/>
      <c r="AE503" s="210"/>
      <c r="AF503" s="210"/>
      <c r="AG503" s="210"/>
    </row>
    <row r="504" spans="1:33" s="589" customFormat="1" ht="15.75" hidden="1" customHeight="1">
      <c r="A504" s="203" t="str">
        <f>IF(B504&lt;&gt;"",IF(AND(B504&gt;=_TM1,B504&lt;=_TM2,OR(TH!L504="1111",TH!M504="1111")),TH!D504,""),"")</f>
        <v/>
      </c>
      <c r="B504" s="36" t="str">
        <f t="shared" si="38"/>
        <v/>
      </c>
      <c r="C504" s="183"/>
      <c r="D504" s="190"/>
      <c r="E504" s="190"/>
      <c r="F504" s="191"/>
      <c r="G504" s="191"/>
      <c r="H504" s="209"/>
      <c r="I504" s="256"/>
      <c r="J504" s="256"/>
      <c r="K504" s="37"/>
      <c r="L504" s="193"/>
      <c r="M504" s="193"/>
      <c r="N504" s="51" t="str">
        <f>IF(AND('331-CT'!$E$7=TH!H617,OR(L504="331",M504="331")),"331",IF(AND(OR(L504="131",M504="131"),H504='131-CT'!$E$7),"131",""))</f>
        <v/>
      </c>
      <c r="O504" s="891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IF(OR(TH!L617=TH!$W$7,M504=TH!$W$7),"x","")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IF(AND(OR(LEFT(TH!L617,2)="15",LEFT(TH!M617,2)="15"),'152-CT'!$J$8=TH!F617),"x","")</f>
        <v/>
      </c>
      <c r="Z504" s="51" t="str">
        <f>IF(AND(OR(LEFT(TH!L617,2)="15",LEFT(TH!M617,2)="15"),TK!$E$7=TH!F617),"x","")</f>
        <v/>
      </c>
      <c r="AA504" s="51" t="str">
        <f>IF(AND(B504&lt;=NKC!$N$8,B504&gt;=NKC!$M$8),"x","")</f>
        <v/>
      </c>
      <c r="AB504" s="923"/>
      <c r="AE504" s="210"/>
      <c r="AF504" s="210"/>
      <c r="AG504" s="210"/>
    </row>
    <row r="505" spans="1:33" s="589" customFormat="1" ht="15.75" hidden="1" customHeight="1">
      <c r="A505" s="203" t="str">
        <f>IF(B505&lt;&gt;"",IF(AND(B505&gt;=_TM1,B505&lt;=_TM2,OR(TH!L505="1111",TH!M505="1111")),TH!D505,""),"")</f>
        <v/>
      </c>
      <c r="B505" s="36" t="str">
        <f t="shared" si="38"/>
        <v/>
      </c>
      <c r="C505" s="183"/>
      <c r="D505" s="190"/>
      <c r="E505" s="190"/>
      <c r="F505" s="191"/>
      <c r="G505" s="481"/>
      <c r="H505" s="192"/>
      <c r="I505" s="255"/>
      <c r="J505" s="255"/>
      <c r="K505" s="37"/>
      <c r="L505" s="193"/>
      <c r="M505" s="193"/>
      <c r="N505" s="51" t="str">
        <f>IF(AND('331-CT'!$E$7=TH!H618,OR(L505="331",M505="331")),"331",IF(AND(OR(L505="131",M505="131"),H505='131-CT'!$E$7),"131",""))</f>
        <v/>
      </c>
      <c r="O505" s="891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IF(OR(TH!L618=TH!$W$7,M505=TH!$W$7),"x","")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IF(AND(OR(LEFT(TH!L618,2)="15",LEFT(TH!M618,2)="15"),'152-CT'!$J$8=TH!F618),"x","")</f>
        <v/>
      </c>
      <c r="Z505" s="51" t="str">
        <f>IF(AND(OR(LEFT(TH!L618,2)="15",LEFT(TH!M618,2)="15"),TK!$E$7=TH!F618),"x","")</f>
        <v/>
      </c>
      <c r="AA505" s="51" t="str">
        <f>IF(AND(B505&lt;=NKC!$N$8,B505&gt;=NKC!$M$8),"x","")</f>
        <v/>
      </c>
      <c r="AB505" s="923"/>
      <c r="AE505" s="210"/>
      <c r="AF505" s="210"/>
      <c r="AG505" s="210"/>
    </row>
    <row r="506" spans="1:33" s="589" customFormat="1" ht="15.75" hidden="1" customHeight="1">
      <c r="A506" s="203" t="str">
        <f>IF(B506&lt;&gt;"",IF(AND(B506&gt;=_TM1,B506&lt;=_TM2,OR(TH!L506="1111",TH!M506="1111")),TH!D506,""),"")</f>
        <v/>
      </c>
      <c r="B506" s="36" t="str">
        <f t="shared" si="38"/>
        <v/>
      </c>
      <c r="C506" s="183"/>
      <c r="D506" s="190"/>
      <c r="E506" s="190"/>
      <c r="F506" s="191"/>
      <c r="G506" s="191"/>
      <c r="H506" s="192"/>
      <c r="I506" s="255"/>
      <c r="J506" s="255"/>
      <c r="K506" s="37"/>
      <c r="L506" s="193"/>
      <c r="M506" s="193"/>
      <c r="N506" s="51" t="str">
        <f>IF(AND('331-CT'!$E$7=TH!H619,OR(L506="331",M506="331")),"331",IF(AND(OR(L506="131",M506="131"),H506='131-CT'!$E$7),"131",""))</f>
        <v/>
      </c>
      <c r="O506" s="891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IF(OR(TH!L619=TH!$W$7,M506=TH!$W$7),"x","")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IF(AND(OR(LEFT(TH!L619,2)="15",LEFT(TH!M619,2)="15"),'152-CT'!$J$8=TH!F619),"x","")</f>
        <v/>
      </c>
      <c r="Z506" s="51" t="str">
        <f>IF(AND(OR(LEFT(TH!L619,2)="15",LEFT(TH!M619,2)="15"),TK!$E$7=TH!F619),"x","")</f>
        <v/>
      </c>
      <c r="AA506" s="51" t="str">
        <f>IF(AND(B506&lt;=NKC!$N$8,B506&gt;=NKC!$M$8),"x","")</f>
        <v/>
      </c>
      <c r="AB506" s="923"/>
      <c r="AE506" s="210"/>
      <c r="AF506" s="210"/>
      <c r="AG506" s="210"/>
    </row>
    <row r="507" spans="1:33" s="589" customFormat="1" ht="15.75" hidden="1" customHeight="1">
      <c r="A507" s="203" t="str">
        <f>IF(B507&lt;&gt;"",IF(AND(B507&gt;=_TM1,B507&lt;=_TM2,OR(TH!L507="1111",TH!M507="1111")),TH!D507,""),"")</f>
        <v/>
      </c>
      <c r="B507" s="36" t="str">
        <f t="shared" si="38"/>
        <v/>
      </c>
      <c r="C507" s="183"/>
      <c r="D507" s="190"/>
      <c r="E507" s="190"/>
      <c r="F507" s="191"/>
      <c r="G507" s="481"/>
      <c r="H507" s="192"/>
      <c r="I507" s="255"/>
      <c r="J507" s="255"/>
      <c r="K507" s="37"/>
      <c r="L507" s="193"/>
      <c r="M507" s="193"/>
      <c r="N507" s="51" t="str">
        <f>IF(AND('331-CT'!$E$7=TH!H620,OR(L507="331",M507="331")),"331",IF(AND(OR(L507="131",M507="131"),H507='131-CT'!$E$7),"131",""))</f>
        <v/>
      </c>
      <c r="O507" s="891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IF(OR(TH!L620=TH!$W$7,M507=TH!$W$7),"x","")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IF(AND(OR(LEFT(TH!L620,2)="15",LEFT(TH!M620,2)="15"),'152-CT'!$J$8=TH!F620),"x","")</f>
        <v/>
      </c>
      <c r="Z507" s="51" t="str">
        <f>IF(AND(OR(LEFT(TH!L620,2)="15",LEFT(TH!M620,2)="15"),TK!$E$7=TH!F620),"x","")</f>
        <v/>
      </c>
      <c r="AA507" s="51" t="str">
        <f>IF(AND(B507&lt;=NKC!$N$8,B507&gt;=NKC!$M$8),"x","")</f>
        <v/>
      </c>
      <c r="AB507" s="923"/>
      <c r="AE507" s="210"/>
      <c r="AF507" s="210"/>
      <c r="AG507" s="210"/>
    </row>
    <row r="508" spans="1:33" s="589" customFormat="1" ht="15.75" hidden="1" customHeight="1">
      <c r="A508" s="203" t="str">
        <f>IF(B508&lt;&gt;"",IF(AND(B508&gt;=_TM1,B508&lt;=_TM2,OR(TH!L508="1111",TH!M508="1111")),TH!D508,""),"")</f>
        <v/>
      </c>
      <c r="B508" s="36" t="str">
        <f t="shared" si="38"/>
        <v/>
      </c>
      <c r="C508" s="183"/>
      <c r="D508" s="190"/>
      <c r="E508" s="190"/>
      <c r="F508" s="191"/>
      <c r="G508" s="191"/>
      <c r="H508" s="192"/>
      <c r="I508" s="255"/>
      <c r="J508" s="255"/>
      <c r="K508" s="37"/>
      <c r="L508" s="193"/>
      <c r="M508" s="193"/>
      <c r="N508" s="51" t="str">
        <f>IF(AND('331-CT'!$E$7=TH!H621,OR(L508="331",M508="331")),"331",IF(AND(OR(L508="131",M508="131"),H508='131-CT'!$E$7),"131",""))</f>
        <v/>
      </c>
      <c r="O508" s="891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IF(OR(TH!L621=TH!$W$7,M508=TH!$W$7),"x","")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IF(AND(OR(LEFT(TH!L621,2)="15",LEFT(TH!M621,2)="15"),'152-CT'!$J$8=TH!F621),"x","")</f>
        <v/>
      </c>
      <c r="Z508" s="51" t="str">
        <f>IF(AND(OR(LEFT(TH!L621,2)="15",LEFT(TH!M621,2)="15"),TK!$E$7=TH!F621),"x","")</f>
        <v/>
      </c>
      <c r="AA508" s="51" t="str">
        <f>IF(AND(B508&lt;=NKC!$N$8,B508&gt;=NKC!$M$8),"x","")</f>
        <v/>
      </c>
      <c r="AB508" s="923"/>
      <c r="AE508" s="210"/>
      <c r="AF508" s="210"/>
      <c r="AG508" s="210"/>
    </row>
    <row r="509" spans="1:33" s="589" customFormat="1" ht="15.75" hidden="1" customHeight="1">
      <c r="A509" s="203" t="str">
        <f>IF(B509&lt;&gt;"",IF(AND(B509&gt;=_TM1,B509&lt;=_TM2,OR(TH!L509="1111",TH!M509="1111")),TH!D509,""),"")</f>
        <v/>
      </c>
      <c r="B509" s="36" t="str">
        <f t="shared" si="38"/>
        <v/>
      </c>
      <c r="C509" s="183"/>
      <c r="D509" s="190"/>
      <c r="E509" s="190"/>
      <c r="F509" s="191"/>
      <c r="G509" s="481"/>
      <c r="H509" s="192"/>
      <c r="I509" s="255"/>
      <c r="J509" s="255"/>
      <c r="K509" s="37"/>
      <c r="L509" s="193"/>
      <c r="M509" s="193"/>
      <c r="N509" s="51" t="str">
        <f>IF(AND('331-CT'!$E$7=TH!H622,OR(L509="331",M509="331")),"331",IF(AND(OR(L509="131",M509="131"),H509='131-CT'!$E$7),"131",""))</f>
        <v/>
      </c>
      <c r="O509" s="891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IF(OR(TH!L622=TH!$W$7,M509=TH!$W$7),"x","")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IF(AND(OR(LEFT(TH!L622,2)="15",LEFT(TH!M622,2)="15"),'152-CT'!$J$8=TH!F622),"x","")</f>
        <v/>
      </c>
      <c r="Z509" s="51" t="str">
        <f>IF(AND(OR(LEFT(TH!L622,2)="15",LEFT(TH!M622,2)="15"),TK!$E$7=TH!F622),"x","")</f>
        <v/>
      </c>
      <c r="AA509" s="51" t="str">
        <f>IF(AND(B509&lt;=NKC!$N$8,B509&gt;=NKC!$M$8),"x","")</f>
        <v/>
      </c>
      <c r="AB509" s="923"/>
      <c r="AD509" s="210"/>
      <c r="AE509" s="210"/>
      <c r="AF509" s="210"/>
      <c r="AG509" s="210"/>
    </row>
    <row r="510" spans="1:33" s="589" customFormat="1" ht="15.75" hidden="1" customHeight="1">
      <c r="A510" s="203" t="str">
        <f>IF(B510&lt;&gt;"",IF(AND(B510&gt;=_TM1,B510&lt;=_TM2,OR(TH!L510="1111",TH!M510="1111")),TH!D510,""),"")</f>
        <v/>
      </c>
      <c r="B510" s="36" t="str">
        <f t="shared" si="38"/>
        <v/>
      </c>
      <c r="C510" s="183"/>
      <c r="D510" s="190"/>
      <c r="E510" s="190"/>
      <c r="F510" s="191"/>
      <c r="G510" s="191"/>
      <c r="H510" s="209"/>
      <c r="I510" s="256"/>
      <c r="J510" s="256"/>
      <c r="K510" s="37"/>
      <c r="L510" s="193"/>
      <c r="M510" s="193"/>
      <c r="N510" s="51" t="str">
        <f>IF(AND('331-CT'!$E$7=TH!H623,OR(L510="331",M510="331")),"331",IF(AND(OR(L510="131",M510="131"),H510='131-CT'!$E$7),"131",""))</f>
        <v/>
      </c>
      <c r="O510" s="891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IF(OR(TH!L623=TH!$W$7,M510=TH!$W$7),"x","")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IF(AND(OR(LEFT(TH!L623,2)="15",LEFT(TH!M623,2)="15"),'152-CT'!$J$8=TH!F623),"x","")</f>
        <v/>
      </c>
      <c r="Z510" s="51" t="str">
        <f>IF(AND(OR(LEFT(TH!L623,2)="15",LEFT(TH!M623,2)="15"),TK!$E$7=TH!F623),"x","")</f>
        <v/>
      </c>
      <c r="AA510" s="51" t="str">
        <f>IF(AND(B510&lt;=NKC!$N$8,B510&gt;=NKC!$M$8),"x","")</f>
        <v/>
      </c>
      <c r="AB510" s="923"/>
      <c r="AF510" s="210"/>
      <c r="AG510" s="210"/>
    </row>
    <row r="511" spans="1:33" s="589" customFormat="1" ht="15.75" hidden="1" customHeight="1">
      <c r="A511" s="203" t="str">
        <f>IF(B511&lt;&gt;"",IF(AND(B511&gt;=_TM1,B511&lt;=_TM2,OR(TH!L511="1111",TH!M511="1111")),TH!D511,""),"")</f>
        <v/>
      </c>
      <c r="B511" s="36" t="str">
        <f t="shared" si="38"/>
        <v/>
      </c>
      <c r="C511" s="183"/>
      <c r="D511" s="190"/>
      <c r="E511" s="190"/>
      <c r="F511" s="191"/>
      <c r="G511" s="481"/>
      <c r="H511" s="192"/>
      <c r="I511" s="255"/>
      <c r="J511" s="255"/>
      <c r="K511" s="37"/>
      <c r="L511" s="193"/>
      <c r="M511" s="193"/>
      <c r="N511" s="51" t="str">
        <f>IF(AND('331-CT'!$E$7=TH!H624,OR(L511="331",M511="331")),"331",IF(AND(OR(L511="131",M511="131"),H511='131-CT'!$E$7),"131",""))</f>
        <v/>
      </c>
      <c r="O511" s="891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IF(OR(TH!L624=TH!$W$7,M511=TH!$W$7),"x","")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IF(AND(OR(LEFT(TH!L624,2)="15",LEFT(TH!M624,2)="15"),'152-CT'!$J$8=TH!F624),"x","")</f>
        <v/>
      </c>
      <c r="Z511" s="51" t="str">
        <f>IF(AND(OR(LEFT(TH!L624,2)="15",LEFT(TH!M624,2)="15"),TK!$E$7=TH!F624),"x","")</f>
        <v/>
      </c>
      <c r="AA511" s="51" t="str">
        <f>IF(AND(B511&lt;=NKC!$N$8,B511&gt;=NKC!$M$8),"x","")</f>
        <v/>
      </c>
      <c r="AB511" s="923"/>
      <c r="AF511" s="210"/>
      <c r="AG511" s="210"/>
    </row>
    <row r="512" spans="1:33" s="589" customFormat="1" ht="15.75" hidden="1" customHeight="1">
      <c r="A512" s="203" t="str">
        <f>IF(B512&lt;&gt;"",IF(AND(B512&gt;=_TM1,B512&lt;=_TM2,OR(TH!L512="1111",TH!M512="1111")),TH!D512,""),"")</f>
        <v/>
      </c>
      <c r="B512" s="36" t="str">
        <f t="shared" si="38"/>
        <v/>
      </c>
      <c r="C512" s="183"/>
      <c r="D512" s="190"/>
      <c r="E512" s="190"/>
      <c r="F512" s="191"/>
      <c r="G512" s="191"/>
      <c r="H512" s="209"/>
      <c r="I512" s="256"/>
      <c r="J512" s="256"/>
      <c r="K512" s="37"/>
      <c r="L512" s="193"/>
      <c r="M512" s="193"/>
      <c r="N512" s="51" t="str">
        <f>IF(AND('331-CT'!$E$7=TH!H625,OR(L512="331",M512="331")),"331",IF(AND(OR(L512="131",M512="131"),H512='131-CT'!$E$7),"131",""))</f>
        <v/>
      </c>
      <c r="O512" s="891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IF(OR(TH!L625=TH!$W$7,M512=TH!$W$7),"x","")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IF(AND(OR(LEFT(TH!L625,2)="15",LEFT(TH!M625,2)="15"),'152-CT'!$J$8=TH!F625),"x","")</f>
        <v/>
      </c>
      <c r="Z512" s="51" t="str">
        <f>IF(AND(OR(LEFT(TH!L625,2)="15",LEFT(TH!M625,2)="15"),TK!$E$7=TH!F625),"x","")</f>
        <v/>
      </c>
      <c r="AA512" s="51" t="str">
        <f>IF(AND(B512&lt;=NKC!$N$8,B512&gt;=NKC!$M$8),"x","")</f>
        <v/>
      </c>
      <c r="AB512" s="923"/>
      <c r="AF512" s="210"/>
      <c r="AG512" s="210"/>
    </row>
    <row r="513" spans="1:33" s="589" customFormat="1" ht="15.75" hidden="1" customHeight="1">
      <c r="A513" s="203" t="str">
        <f>IF(B513&lt;&gt;"",IF(AND(B513&gt;=_TM1,B513&lt;=_TM2,OR(TH!L513="1111",TH!M513="1111")),TH!D513,""),"")</f>
        <v/>
      </c>
      <c r="B513" s="36" t="str">
        <f t="shared" si="38"/>
        <v/>
      </c>
      <c r="C513" s="183"/>
      <c r="D513" s="190"/>
      <c r="E513" s="190"/>
      <c r="F513" s="191"/>
      <c r="G513" s="191"/>
      <c r="H513" s="192"/>
      <c r="I513" s="255"/>
      <c r="J513" s="255"/>
      <c r="K513" s="37"/>
      <c r="L513" s="193"/>
      <c r="M513" s="193"/>
      <c r="N513" s="51" t="str">
        <f>IF(AND('331-CT'!$E$7=TH!H626,OR(L513="331",M513="331")),"331",IF(AND(OR(L513="131",M513="131"),H513='131-CT'!$E$7),"131",""))</f>
        <v/>
      </c>
      <c r="O513" s="891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IF(OR(TH!L626=TH!$W$7,M513=TH!$W$7),"x","")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IF(AND(OR(LEFT(TH!L626,2)="15",LEFT(TH!M626,2)="15"),'152-CT'!$J$8=TH!F626),"x","")</f>
        <v/>
      </c>
      <c r="Z513" s="51" t="str">
        <f>IF(AND(OR(LEFT(TH!L626,2)="15",LEFT(TH!M626,2)="15"),TK!$E$7=TH!F626),"x","")</f>
        <v/>
      </c>
      <c r="AA513" s="51" t="str">
        <f>IF(AND(B513&lt;=NKC!$N$8,B513&gt;=NKC!$M$8),"x","")</f>
        <v/>
      </c>
      <c r="AB513" s="923"/>
      <c r="AF513" s="210"/>
      <c r="AG513" s="210"/>
    </row>
    <row r="514" spans="1:33" s="589" customFormat="1" ht="15.75" hidden="1" customHeight="1">
      <c r="A514" s="203" t="str">
        <f>IF(B514&lt;&gt;"",IF(AND(B514&gt;=_TM1,B514&lt;=_TM2,OR(TH!L514="1111",TH!M514="1111")),TH!D514,""),"")</f>
        <v/>
      </c>
      <c r="B514" s="36" t="str">
        <f t="shared" si="38"/>
        <v/>
      </c>
      <c r="C514" s="183"/>
      <c r="D514" s="190"/>
      <c r="E514" s="190"/>
      <c r="F514" s="191"/>
      <c r="G514" s="191"/>
      <c r="H514" s="209"/>
      <c r="I514" s="256"/>
      <c r="J514" s="256"/>
      <c r="K514" s="37"/>
      <c r="L514" s="193"/>
      <c r="M514" s="193"/>
      <c r="N514" s="51" t="str">
        <f>IF(AND('331-CT'!$E$7=TH!H627,OR(L514="331",M514="331")),"331",IF(AND(OR(L514="131",M514="131"),H514='131-CT'!$E$7),"131",""))</f>
        <v/>
      </c>
      <c r="O514" s="891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IF(OR(TH!L627=TH!$W$7,M514=TH!$W$7),"x","")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IF(AND(OR(LEFT(TH!L627,2)="15",LEFT(TH!M627,2)="15"),'152-CT'!$J$8=TH!F627),"x","")</f>
        <v/>
      </c>
      <c r="Z514" s="51" t="str">
        <f>IF(AND(OR(LEFT(TH!L627,2)="15",LEFT(TH!M627,2)="15"),TK!$E$7=TH!F627),"x","")</f>
        <v/>
      </c>
      <c r="AA514" s="51" t="str">
        <f>IF(AND(B514&lt;=NKC!$N$8,B514&gt;=NKC!$M$8),"x","")</f>
        <v/>
      </c>
      <c r="AB514" s="923"/>
      <c r="AF514" s="210"/>
      <c r="AG514" s="210"/>
    </row>
    <row r="515" spans="1:33" s="589" customFormat="1" ht="15.75" hidden="1" customHeight="1">
      <c r="A515" s="203" t="str">
        <f>IF(B515&lt;&gt;"",IF(AND(B515&gt;=_TM1,B515&lt;=_TM2,OR(TH!L515="1111",TH!M515="1111")),TH!D515,""),"")</f>
        <v/>
      </c>
      <c r="B515" s="36" t="str">
        <f t="shared" si="38"/>
        <v/>
      </c>
      <c r="C515" s="183"/>
      <c r="D515" s="190"/>
      <c r="E515" s="190"/>
      <c r="F515" s="191"/>
      <c r="G515" s="191"/>
      <c r="H515" s="192"/>
      <c r="I515" s="255"/>
      <c r="J515" s="255"/>
      <c r="K515" s="37"/>
      <c r="L515" s="193"/>
      <c r="M515" s="193"/>
      <c r="N515" s="51" t="str">
        <f>IF(AND('331-CT'!$E$7=TH!H628,OR(L515="331",M515="331")),"331",IF(AND(OR(L515="131",M515="131"),H515='131-CT'!$E$7),"131",""))</f>
        <v/>
      </c>
      <c r="O515" s="891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IF(OR(TH!L628=TH!$W$7,M515=TH!$W$7),"x","")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IF(AND(OR(LEFT(TH!L628,2)="15",LEFT(TH!M628,2)="15"),'152-CT'!$J$8=TH!F628),"x","")</f>
        <v/>
      </c>
      <c r="Z515" s="51" t="str">
        <f>IF(AND(OR(LEFT(TH!L628,2)="15",LEFT(TH!M628,2)="15"),TK!$E$7=TH!F628),"x","")</f>
        <v/>
      </c>
      <c r="AA515" s="51" t="str">
        <f>IF(AND(B515&lt;=NKC!$N$8,B515&gt;=NKC!$M$8),"x","")</f>
        <v/>
      </c>
      <c r="AB515" s="923"/>
      <c r="AF515" s="210"/>
      <c r="AG515" s="210"/>
    </row>
    <row r="516" spans="1:33" s="589" customFormat="1" ht="15.75" hidden="1" customHeight="1">
      <c r="A516" s="203" t="str">
        <f>IF(B516&lt;&gt;"",IF(AND(B516&gt;=_TM1,B516&lt;=_TM2,OR(TH!L516="1111",TH!M516="1111")),TH!D516,""),"")</f>
        <v/>
      </c>
      <c r="B516" s="36" t="str">
        <f t="shared" si="38"/>
        <v/>
      </c>
      <c r="C516" s="183"/>
      <c r="D516" s="190"/>
      <c r="E516" s="190"/>
      <c r="F516" s="191"/>
      <c r="G516" s="481"/>
      <c r="H516" s="783"/>
      <c r="I516" s="257"/>
      <c r="J516" s="257"/>
      <c r="K516" s="37"/>
      <c r="L516" s="193"/>
      <c r="M516" s="193"/>
      <c r="N516" s="51" t="str">
        <f>IF(AND('331-CT'!$E$7=TH!H371,OR(L516="331",M516="331")),"331",IF(AND(OR(L516="131",M516="131"),H516='131-CT'!$E$7),"131",""))</f>
        <v/>
      </c>
      <c r="O516" s="891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IF(OR(TH!L371=TH!$W$7,M516=TH!$W$7),"x","")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IF(AND(OR(LEFT(TH!L371,2)="15",LEFT(TH!M371,2)="15"),'152-CT'!$J$8=TH!F371),"x","")</f>
        <v/>
      </c>
      <c r="Z516" s="51" t="str">
        <f>IF(AND(OR(LEFT(TH!L371,2)="15",LEFT(TH!M371,2)="15"),TK!$E$7=TH!F371),"x","")</f>
        <v/>
      </c>
      <c r="AA516" s="51" t="str">
        <f>IF(AND(B516&lt;=NKC!$N$8,B516&gt;=NKC!$M$8),"x","")</f>
        <v/>
      </c>
      <c r="AB516" s="923"/>
      <c r="AE516" s="210"/>
    </row>
    <row r="517" spans="1:33" s="589" customFormat="1" ht="15.75" hidden="1" customHeight="1">
      <c r="A517" s="203" t="str">
        <f>IF(B517&lt;&gt;"",IF(AND(B517&gt;=_TM1,B517&lt;=_TM2,OR(TH!L517="1111",TH!M517="1111")),TH!D517,""),"")</f>
        <v/>
      </c>
      <c r="B517" s="36" t="str">
        <f t="shared" ref="B517:B580" si="39">IF(C517&lt;&gt;"",MONTH(C517),"")</f>
        <v/>
      </c>
      <c r="C517" s="183"/>
      <c r="D517" s="190"/>
      <c r="E517" s="190"/>
      <c r="F517" s="191"/>
      <c r="G517" s="481"/>
      <c r="H517" s="783"/>
      <c r="I517" s="255"/>
      <c r="J517" s="257"/>
      <c r="K517" s="37"/>
      <c r="L517" s="193"/>
      <c r="M517" s="193"/>
      <c r="N517" s="51" t="str">
        <f>IF(AND('331-CT'!$E$7=TH!H372,OR(L517="331",M517="331")),"331",IF(AND(OR(L517="131",M517="131"),H517='131-CT'!$E$7),"131",""))</f>
        <v/>
      </c>
      <c r="O517" s="891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IF(OR(TH!L372=TH!$W$7,M517=TH!$W$7),"x","")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IF(AND(OR(LEFT(TH!L372,2)="15",LEFT(TH!M372,2)="15"),'152-CT'!$J$8=TH!F372),"x","")</f>
        <v/>
      </c>
      <c r="Z517" s="51" t="str">
        <f>IF(AND(OR(LEFT(TH!L372,2)="15",LEFT(TH!M372,2)="15"),TK!$E$7=TH!F372),"x","")</f>
        <v/>
      </c>
      <c r="AA517" s="51" t="str">
        <f>IF(AND(B517&lt;=NKC!$N$8,B517&gt;=NKC!$M$8),"x","")</f>
        <v/>
      </c>
      <c r="AB517" s="923"/>
      <c r="AE517" s="210"/>
    </row>
    <row r="518" spans="1:33" s="210" customFormat="1" ht="15.75" hidden="1" customHeight="1">
      <c r="A518" s="203" t="str">
        <f>IF(B518&lt;&gt;"",IF(AND(B518&gt;=_TM1,B518&lt;=_TM2,OR(TH!L518="1111",TH!M518="1111")),TH!D518,""),"")</f>
        <v/>
      </c>
      <c r="B518" s="36" t="str">
        <f t="shared" si="39"/>
        <v/>
      </c>
      <c r="C518" s="183"/>
      <c r="D518" s="190"/>
      <c r="E518" s="190"/>
      <c r="F518" s="191"/>
      <c r="G518" s="481"/>
      <c r="H518" s="7"/>
      <c r="I518" s="255"/>
      <c r="J518" s="255"/>
      <c r="K518" s="597"/>
      <c r="L518" s="193"/>
      <c r="M518" s="193"/>
      <c r="N518" s="51" t="str">
        <f>IF(AND('331-CT'!$E$7=TH!H373,OR(L518="331",M518="331")),"331",IF(AND(OR(L518="131",M518="131"),H518='131-CT'!$E$7),"131",""))</f>
        <v/>
      </c>
      <c r="O518" s="891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IF(OR(TH!L373=TH!$W$7,M518=TH!$W$7),"x","")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IF(AND(OR(LEFT(TH!L373,2)="15",LEFT(TH!M373,2)="15"),'152-CT'!$J$8=TH!F373),"x","")</f>
        <v/>
      </c>
      <c r="Z518" s="51" t="str">
        <f>IF(AND(OR(LEFT(TH!L373,2)="15",LEFT(TH!M373,2)="15"),TK!$E$7=TH!F373),"x","")</f>
        <v/>
      </c>
      <c r="AA518" s="51" t="str">
        <f>IF(AND(B518&lt;=NKC!$N$8,B518&gt;=NKC!$M$8),"x","")</f>
        <v/>
      </c>
      <c r="AB518" s="923"/>
      <c r="AC518" s="589"/>
      <c r="AD518" s="589"/>
      <c r="AF518" s="589"/>
      <c r="AG518" s="589"/>
    </row>
    <row r="519" spans="1:33" s="210" customFormat="1" ht="15.75" hidden="1" customHeight="1">
      <c r="A519" s="203" t="str">
        <f>IF(B519&lt;&gt;"",IF(AND(B519&gt;=_TM1,B519&lt;=_TM2,OR(TH!L519="1111",TH!M519="1111")),TH!D519,""),"")</f>
        <v/>
      </c>
      <c r="B519" s="36" t="str">
        <f t="shared" si="39"/>
        <v/>
      </c>
      <c r="C519" s="183"/>
      <c r="D519" s="190"/>
      <c r="E519" s="190"/>
      <c r="F519" s="191"/>
      <c r="G519" s="191"/>
      <c r="H519" s="192"/>
      <c r="I519" s="255"/>
      <c r="J519" s="255"/>
      <c r="K519" s="37"/>
      <c r="L519" s="193"/>
      <c r="M519" s="193"/>
      <c r="N519" s="51" t="str">
        <f>IF(AND('331-CT'!$E$7=TH!H629,OR(L519="331",M519="331")),"331",IF(AND(OR(L519="131",M519="131"),H519='131-CT'!$E$7),"131",""))</f>
        <v/>
      </c>
      <c r="O519" s="891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IF(OR(TH!L629=TH!$W$7,M519=TH!$W$7),"x","")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IF(AND(OR(LEFT(TH!L629,2)="15",LEFT(TH!M629,2)="15"),'152-CT'!$J$8=TH!F629),"x","")</f>
        <v/>
      </c>
      <c r="Z519" s="51" t="str">
        <f>IF(AND(OR(LEFT(TH!L629,2)="15",LEFT(TH!M629,2)="15"),TK!$E$7=TH!F629),"x","")</f>
        <v/>
      </c>
      <c r="AA519" s="51" t="str">
        <f>IF(AND(B519&lt;=NKC!$N$8,B519&gt;=NKC!$M$8),"x","")</f>
        <v/>
      </c>
      <c r="AB519" s="923"/>
      <c r="AC519" s="589"/>
      <c r="AD519" s="589"/>
    </row>
    <row r="520" spans="1:33" s="210" customFormat="1" ht="15.75" hidden="1" customHeight="1">
      <c r="A520" s="203" t="str">
        <f>IF(B520&lt;&gt;"",IF(AND(B520&gt;=_TM1,B520&lt;=_TM2,OR(TH!L520="1111",TH!M520="1111")),TH!D520,""),"")</f>
        <v/>
      </c>
      <c r="B520" s="36" t="str">
        <f t="shared" si="39"/>
        <v/>
      </c>
      <c r="C520" s="183"/>
      <c r="D520" s="190"/>
      <c r="E520" s="190"/>
      <c r="F520" s="191"/>
      <c r="G520" s="191"/>
      <c r="H520" s="192"/>
      <c r="I520" s="255"/>
      <c r="J520" s="255"/>
      <c r="K520" s="37"/>
      <c r="L520" s="193"/>
      <c r="M520" s="193"/>
      <c r="N520" s="51" t="str">
        <f>IF(AND('331-CT'!$E$7=TH!H630,OR(L520="331",M520="331")),"331",IF(AND(OR(L520="131",M520="131"),H520='131-CT'!$E$7),"131",""))</f>
        <v/>
      </c>
      <c r="O520" s="891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IF(OR(TH!L630=TH!$W$7,M520=TH!$W$7),"x","")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IF(AND(OR(LEFT(TH!L630,2)="15",LEFT(TH!M630,2)="15"),'152-CT'!$J$8=TH!F630),"x","")</f>
        <v/>
      </c>
      <c r="Z520" s="51" t="str">
        <f>IF(AND(OR(LEFT(TH!L630,2)="15",LEFT(TH!M630,2)="15"),TK!$E$7=TH!F630),"x","")</f>
        <v/>
      </c>
      <c r="AA520" s="51" t="str">
        <f>IF(AND(B520&lt;=NKC!$N$8,B520&gt;=NKC!$M$8),"x","")</f>
        <v/>
      </c>
      <c r="AB520" s="923"/>
      <c r="AC520" s="589"/>
      <c r="AD520" s="589"/>
    </row>
    <row r="521" spans="1:33" s="210" customFormat="1" ht="15.75" hidden="1" customHeight="1">
      <c r="A521" s="203" t="str">
        <f>IF(B521&lt;&gt;"",IF(AND(B521&gt;=_TM1,B521&lt;=_TM2,OR(TH!L521="1111",TH!M521="1111")),TH!D521,""),"")</f>
        <v/>
      </c>
      <c r="B521" s="36" t="str">
        <f t="shared" si="39"/>
        <v/>
      </c>
      <c r="C521" s="183"/>
      <c r="D521" s="190"/>
      <c r="E521" s="190"/>
      <c r="F521" s="191"/>
      <c r="G521" s="191"/>
      <c r="H521" s="192"/>
      <c r="I521" s="255"/>
      <c r="J521" s="255"/>
      <c r="K521" s="37"/>
      <c r="L521" s="193"/>
      <c r="M521" s="193"/>
      <c r="N521" s="51" t="str">
        <f>IF(AND('331-CT'!$E$7=TH!H631,OR(L521="331",M521="331")),"331",IF(AND(OR(L521="131",M521="131"),H521='131-CT'!$E$7),"131",""))</f>
        <v/>
      </c>
      <c r="O521" s="891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IF(OR(TH!L631=TH!$W$7,M521=TH!$W$7),"x","")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IF(AND(OR(LEFT(TH!L631,2)="15",LEFT(TH!M631,2)="15"),'152-CT'!$J$8=TH!F631),"x","")</f>
        <v/>
      </c>
      <c r="Z521" s="51" t="str">
        <f>IF(AND(OR(LEFT(TH!L631,2)="15",LEFT(TH!M631,2)="15"),TK!$E$7=TH!F631),"x","")</f>
        <v/>
      </c>
      <c r="AA521" s="51" t="str">
        <f>IF(AND(B521&lt;=NKC!$N$8,B521&gt;=NKC!$M$8),"x","")</f>
        <v/>
      </c>
      <c r="AB521" s="923"/>
      <c r="AC521" s="589"/>
      <c r="AD521" s="589"/>
    </row>
    <row r="522" spans="1:33" s="210" customFormat="1" ht="15.75" hidden="1" customHeight="1">
      <c r="A522" s="203" t="str">
        <f>IF(B522&lt;&gt;"",IF(AND(B522&gt;=_TM1,B522&lt;=_TM2,OR(TH!L522="1111",TH!M522="1111")),TH!D522,""),"")</f>
        <v/>
      </c>
      <c r="B522" s="36" t="str">
        <f t="shared" si="39"/>
        <v/>
      </c>
      <c r="C522" s="183"/>
      <c r="D522" s="190"/>
      <c r="E522" s="190"/>
      <c r="F522" s="191"/>
      <c r="G522" s="191"/>
      <c r="H522" s="192"/>
      <c r="I522" s="255"/>
      <c r="J522" s="255"/>
      <c r="K522" s="37"/>
      <c r="L522" s="193"/>
      <c r="M522" s="193"/>
      <c r="N522" s="51" t="str">
        <f>IF(AND('331-CT'!$E$7=TH!H632,OR(L522="331",M522="331")),"331",IF(AND(OR(L522="131",M522="131"),H522='131-CT'!$E$7),"131",""))</f>
        <v/>
      </c>
      <c r="O522" s="891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IF(OR(TH!L632=TH!$W$7,M522=TH!$W$7),"x","")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IF(AND(OR(LEFT(TH!L632,2)="15",LEFT(TH!M632,2)="15"),'152-CT'!$J$8=TH!F632),"x","")</f>
        <v/>
      </c>
      <c r="Z522" s="51" t="str">
        <f>IF(AND(OR(LEFT(TH!L632,2)="15",LEFT(TH!M632,2)="15"),TK!$E$7=TH!F632),"x","")</f>
        <v/>
      </c>
      <c r="AA522" s="51" t="str">
        <f>IF(AND(B522&lt;=NKC!$N$8,B522&gt;=NKC!$M$8),"x","")</f>
        <v/>
      </c>
      <c r="AB522" s="923"/>
      <c r="AC522" s="589"/>
      <c r="AD522" s="589"/>
    </row>
    <row r="523" spans="1:33" s="210" customFormat="1" ht="15.75" hidden="1" customHeight="1">
      <c r="A523" s="203" t="str">
        <f>IF(B523&lt;&gt;"",IF(AND(B523&gt;=_TM1,B523&lt;=_TM2,OR(TH!L523="1111",TH!M523="1111")),TH!D523,""),"")</f>
        <v/>
      </c>
      <c r="B523" s="36" t="str">
        <f t="shared" si="39"/>
        <v/>
      </c>
      <c r="C523" s="183"/>
      <c r="D523" s="190"/>
      <c r="E523" s="190"/>
      <c r="F523" s="191"/>
      <c r="G523" s="191"/>
      <c r="H523" s="191"/>
      <c r="I523" s="256"/>
      <c r="J523" s="256"/>
      <c r="K523" s="37"/>
      <c r="L523" s="193"/>
      <c r="M523" s="193"/>
      <c r="N523" s="51" t="str">
        <f>IF(AND('331-CT'!$E$7=TH!H633,OR(L523="331",M523="331")),"331",IF(AND(OR(L523="131",M523="131"),H523='131-CT'!$E$7),"131",""))</f>
        <v/>
      </c>
      <c r="O523" s="891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IF(OR(TH!L633=TH!$W$7,M523=TH!$W$7),"x","")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IF(AND(OR(LEFT(TH!L633,2)="15",LEFT(TH!M633,2)="15"),'152-CT'!$J$8=TH!F633),"x","")</f>
        <v/>
      </c>
      <c r="Z523" s="51" t="str">
        <f>IF(AND(OR(LEFT(TH!L633,2)="15",LEFT(TH!M633,2)="15"),TK!$E$7=TH!F633),"x","")</f>
        <v/>
      </c>
      <c r="AA523" s="51" t="str">
        <f>IF(AND(B523&lt;=NKC!$N$8,B523&gt;=NKC!$M$8),"x","")</f>
        <v/>
      </c>
      <c r="AB523" s="923"/>
      <c r="AC523" s="589"/>
      <c r="AD523" s="589"/>
      <c r="AE523" s="589"/>
    </row>
    <row r="524" spans="1:33" s="210" customFormat="1" ht="15.75" hidden="1" customHeight="1">
      <c r="A524" s="203" t="str">
        <f>IF(B524&lt;&gt;"",IF(AND(B524&gt;=_TM1,B524&lt;=_TM2,OR(TH!L524="1111",TH!M524="1111")),TH!D524,""),"")</f>
        <v/>
      </c>
      <c r="B524" s="36" t="str">
        <f t="shared" si="39"/>
        <v/>
      </c>
      <c r="C524" s="183"/>
      <c r="D524" s="190"/>
      <c r="E524" s="190"/>
      <c r="F524" s="191"/>
      <c r="G524" s="191"/>
      <c r="H524" s="192"/>
      <c r="I524" s="255"/>
      <c r="J524" s="255"/>
      <c r="K524" s="37"/>
      <c r="L524" s="193"/>
      <c r="M524" s="193"/>
      <c r="N524" s="51" t="str">
        <f>IF(AND('331-CT'!$E$7=TH!H634,OR(L524="331",M524="331")),"331",IF(AND(OR(L524="131",M524="131"),H524='131-CT'!$E$7),"131",""))</f>
        <v/>
      </c>
      <c r="O524" s="891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IF(OR(TH!L634=TH!$W$7,M524=TH!$W$7),"x","")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IF(AND(OR(LEFT(TH!L634,2)="15",LEFT(TH!M634,2)="15"),'152-CT'!$J$8=TH!F634),"x","")</f>
        <v/>
      </c>
      <c r="Z524" s="51" t="str">
        <f>IF(AND(OR(LEFT(TH!L634,2)="15",LEFT(TH!M634,2)="15"),TK!$E$7=TH!F634),"x","")</f>
        <v/>
      </c>
      <c r="AA524" s="51" t="str">
        <f>IF(AND(B524&lt;=NKC!$N$8,B524&gt;=NKC!$M$8),"x","")</f>
        <v/>
      </c>
      <c r="AB524" s="923"/>
      <c r="AC524" s="589"/>
      <c r="AD524" s="589"/>
      <c r="AE524" s="589"/>
    </row>
    <row r="525" spans="1:33" s="210" customFormat="1" ht="15.75" hidden="1" customHeight="1">
      <c r="A525" s="203" t="str">
        <f>IF(B525&lt;&gt;"",IF(AND(B525&gt;=_TM1,B525&lt;=_TM2,OR(TH!L525="1111",TH!M525="1111")),TH!D525,""),"")</f>
        <v/>
      </c>
      <c r="B525" s="36" t="str">
        <f t="shared" si="39"/>
        <v/>
      </c>
      <c r="C525" s="183"/>
      <c r="D525" s="190"/>
      <c r="E525" s="190"/>
      <c r="F525" s="191"/>
      <c r="G525" s="191"/>
      <c r="H525" s="192"/>
      <c r="I525" s="256"/>
      <c r="J525" s="256"/>
      <c r="K525" s="37"/>
      <c r="L525" s="193"/>
      <c r="M525" s="193"/>
      <c r="N525" s="51" t="str">
        <f>IF(AND('331-CT'!$E$7=TH!H635,OR(L525="331",M525="331")),"331",IF(AND(OR(L525="131",M525="131"),H525='131-CT'!$E$7),"131",""))</f>
        <v/>
      </c>
      <c r="O525" s="891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IF(OR(TH!L635=TH!$W$7,M525=TH!$W$7),"x","")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IF(AND(OR(LEFT(TH!L635,2)="15",LEFT(TH!M635,2)="15"),'152-CT'!$J$8=TH!F635),"x","")</f>
        <v/>
      </c>
      <c r="Z525" s="51" t="str">
        <f>IF(AND(OR(LEFT(TH!L635,2)="15",LEFT(TH!M635,2)="15"),TK!$E$7=TH!F635),"x","")</f>
        <v/>
      </c>
      <c r="AA525" s="51" t="str">
        <f>IF(AND(B525&lt;=NKC!$N$8,B525&gt;=NKC!$M$8),"x","")</f>
        <v/>
      </c>
      <c r="AB525" s="923"/>
      <c r="AC525" s="589"/>
      <c r="AD525" s="589"/>
      <c r="AE525" s="589"/>
    </row>
    <row r="526" spans="1:33" s="210" customFormat="1" ht="15.75" hidden="1" customHeight="1">
      <c r="A526" s="203" t="str">
        <f>IF(B526&lt;&gt;"",IF(AND(B526&gt;=_TM1,B526&lt;=_TM2,OR(TH!L526="1111",TH!M526="1111")),TH!D526,""),"")</f>
        <v/>
      </c>
      <c r="B526" s="36" t="str">
        <f t="shared" si="39"/>
        <v/>
      </c>
      <c r="C526" s="183"/>
      <c r="D526" s="190"/>
      <c r="E526" s="190"/>
      <c r="F526" s="191"/>
      <c r="G526" s="191"/>
      <c r="H526" s="192"/>
      <c r="I526" s="255"/>
      <c r="J526" s="255"/>
      <c r="K526" s="37"/>
      <c r="L526" s="193"/>
      <c r="M526" s="193"/>
      <c r="N526" s="51" t="str">
        <f>IF(AND('331-CT'!$E$7=TH!H636,OR(L526="331",M526="331")),"331",IF(AND(OR(L526="131",M526="131"),H526='131-CT'!$E$7),"131",""))</f>
        <v/>
      </c>
      <c r="O526" s="891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IF(OR(TH!L636=TH!$W$7,M526=TH!$W$7),"x","")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IF(AND(OR(LEFT(TH!L636,2)="15",LEFT(TH!M636,2)="15"),'152-CT'!$J$8=TH!F636),"x","")</f>
        <v/>
      </c>
      <c r="Z526" s="51" t="str">
        <f>IF(AND(OR(LEFT(TH!L636,2)="15",LEFT(TH!M636,2)="15"),TK!$E$7=TH!F636),"x","")</f>
        <v/>
      </c>
      <c r="AA526" s="51" t="str">
        <f>IF(AND(B526&lt;=NKC!$N$8,B526&gt;=NKC!$M$8),"x","")</f>
        <v/>
      </c>
      <c r="AB526" s="923"/>
      <c r="AC526" s="589"/>
      <c r="AE526" s="589"/>
    </row>
    <row r="527" spans="1:33" s="210" customFormat="1" ht="15.75" hidden="1" customHeight="1">
      <c r="A527" s="203" t="str">
        <f>IF(B527&lt;&gt;"",IF(AND(B527&gt;=_TM1,B527&lt;=_TM2,OR(TH!L527="1111",TH!M527="1111")),TH!D527,""),"")</f>
        <v/>
      </c>
      <c r="B527" s="36" t="str">
        <f t="shared" si="39"/>
        <v/>
      </c>
      <c r="C527" s="183"/>
      <c r="D527" s="190"/>
      <c r="E527" s="190"/>
      <c r="F527" s="191"/>
      <c r="G527" s="191"/>
      <c r="H527" s="192"/>
      <c r="I527" s="255"/>
      <c r="J527" s="255"/>
      <c r="K527" s="37"/>
      <c r="L527" s="193"/>
      <c r="M527" s="193"/>
      <c r="N527" s="51" t="str">
        <f>IF(AND('331-CT'!$E$7=TH!H637,OR(L527="331",M527="331")),"331",IF(AND(OR(L527="131",M527="131"),H527='131-CT'!$E$7),"131",""))</f>
        <v/>
      </c>
      <c r="O527" s="891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IF(OR(TH!L637=TH!$W$7,M527=TH!$W$7),"x","")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IF(AND(OR(LEFT(TH!L637,2)="15",LEFT(TH!M637,2)="15"),'152-CT'!$J$8=TH!F637),"x","")</f>
        <v/>
      </c>
      <c r="Z527" s="51" t="str">
        <f>IF(AND(OR(LEFT(TH!L637,2)="15",LEFT(TH!M637,2)="15"),TK!$E$7=TH!F637),"x","")</f>
        <v/>
      </c>
      <c r="AA527" s="51" t="str">
        <f>IF(AND(B527&lt;=NKC!$N$8,B527&gt;=NKC!$M$8),"x","")</f>
        <v/>
      </c>
      <c r="AB527" s="923"/>
      <c r="AC527" s="589"/>
      <c r="AD527" s="589"/>
      <c r="AE527" s="589"/>
    </row>
    <row r="528" spans="1:33" s="210" customFormat="1" ht="15.75" hidden="1" customHeight="1">
      <c r="A528" s="203" t="str">
        <f>IF(B528&lt;&gt;"",IF(AND(B528&gt;=_TM1,B528&lt;=_TM2,OR(TH!L528="1111",TH!M528="1111")),TH!D528,""),"")</f>
        <v/>
      </c>
      <c r="B528" s="36" t="str">
        <f t="shared" si="39"/>
        <v/>
      </c>
      <c r="C528" s="183"/>
      <c r="D528" s="190"/>
      <c r="E528" s="190"/>
      <c r="F528" s="191"/>
      <c r="G528" s="191"/>
      <c r="H528" s="192"/>
      <c r="I528" s="255"/>
      <c r="J528" s="255"/>
      <c r="K528" s="37"/>
      <c r="L528" s="193"/>
      <c r="M528" s="193"/>
      <c r="N528" s="51" t="str">
        <f>IF(AND('331-CT'!$E$7=TH!H638,OR(L528="331",M528="331")),"331",IF(AND(OR(L528="131",M528="131"),H528='131-CT'!$E$7),"131",""))</f>
        <v/>
      </c>
      <c r="O528" s="891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IF(OR(TH!L638=TH!$W$7,M528=TH!$W$7),"x","")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IF(AND(OR(LEFT(TH!L638,2)="15",LEFT(TH!M638,2)="15"),'152-CT'!$J$8=TH!F638),"x","")</f>
        <v/>
      </c>
      <c r="Z528" s="51" t="str">
        <f>IF(AND(OR(LEFT(TH!L638,2)="15",LEFT(TH!M638,2)="15"),TK!$E$7=TH!F638),"x","")</f>
        <v/>
      </c>
      <c r="AA528" s="51" t="str">
        <f>IF(AND(B528&lt;=NKC!$N$8,B528&gt;=NKC!$M$8),"x","")</f>
        <v/>
      </c>
      <c r="AB528" s="923"/>
      <c r="AC528" s="589"/>
      <c r="AD528" s="589"/>
      <c r="AE528" s="589"/>
    </row>
    <row r="529" spans="1:31" s="210" customFormat="1" ht="15.75" hidden="1" customHeight="1">
      <c r="A529" s="203" t="str">
        <f>IF(B529&lt;&gt;"",IF(AND(B529&gt;=_TM1,B529&lt;=_TM2,OR(TH!L529="1111",TH!M529="1111")),TH!D529,""),"")</f>
        <v/>
      </c>
      <c r="B529" s="36" t="str">
        <f t="shared" si="39"/>
        <v/>
      </c>
      <c r="C529" s="183"/>
      <c r="D529" s="190"/>
      <c r="E529" s="190"/>
      <c r="F529" s="191"/>
      <c r="G529" s="191"/>
      <c r="H529" s="192"/>
      <c r="I529" s="255"/>
      <c r="J529" s="255"/>
      <c r="K529" s="37"/>
      <c r="L529" s="193"/>
      <c r="M529" s="193"/>
      <c r="N529" s="51" t="str">
        <f>IF(AND('331-CT'!$E$7=TH!H639,OR(L529="331",M529="331")),"331",IF(AND(OR(L529="131",M529="131"),H529='131-CT'!$E$7),"131",""))</f>
        <v/>
      </c>
      <c r="O529" s="891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IF(OR(TH!L639=TH!$W$7,M529=TH!$W$7),"x","")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IF(AND(OR(LEFT(TH!L639,2)="15",LEFT(TH!M639,2)="15"),'152-CT'!$J$8=TH!F639),"x","")</f>
        <v/>
      </c>
      <c r="Z529" s="51" t="str">
        <f>IF(AND(OR(LEFT(TH!L639,2)="15",LEFT(TH!M639,2)="15"),TK!$E$7=TH!F639),"x","")</f>
        <v/>
      </c>
      <c r="AA529" s="51" t="str">
        <f>IF(AND(B529&lt;=NKC!$N$8,B529&gt;=NKC!$M$8),"x","")</f>
        <v/>
      </c>
      <c r="AB529" s="923"/>
      <c r="AC529" s="589"/>
      <c r="AD529" s="589"/>
      <c r="AE529" s="589"/>
    </row>
    <row r="530" spans="1:31" s="210" customFormat="1" ht="15.75" hidden="1" customHeight="1">
      <c r="A530" s="203" t="str">
        <f>IF(B530&lt;&gt;"",IF(AND(B530&gt;=_TM1,B530&lt;=_TM2,OR(TH!L530="1111",TH!M530="1111")),TH!D530,""),"")</f>
        <v/>
      </c>
      <c r="B530" s="36" t="str">
        <f t="shared" si="39"/>
        <v/>
      </c>
      <c r="C530" s="183"/>
      <c r="D530" s="190"/>
      <c r="E530" s="190"/>
      <c r="F530" s="191"/>
      <c r="G530" s="191"/>
      <c r="H530" s="7"/>
      <c r="I530" s="255"/>
      <c r="J530" s="255"/>
      <c r="K530" s="37"/>
      <c r="L530" s="193"/>
      <c r="M530" s="193"/>
      <c r="N530" s="51" t="str">
        <f>IF(AND('331-CT'!$E$7=TH!H640,OR(L530="331",M530="331")),"331",IF(AND(OR(L530="131",M530="131"),H530='131-CT'!$E$7),"131",""))</f>
        <v/>
      </c>
      <c r="O530" s="891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IF(OR(TH!L640=TH!$W$7,M530=TH!$W$7),"x","")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IF(AND(OR(LEFT(TH!L640,2)="15",LEFT(TH!M640,2)="15"),'152-CT'!$J$8=TH!F640),"x","")</f>
        <v/>
      </c>
      <c r="Z530" s="51" t="str">
        <f>IF(AND(OR(LEFT(TH!L640,2)="15",LEFT(TH!M640,2)="15"),TK!$E$7=TH!F640),"x","")</f>
        <v/>
      </c>
      <c r="AA530" s="51" t="str">
        <f>IF(AND(B530&lt;=NKC!$N$8,B530&gt;=NKC!$M$8),"x","")</f>
        <v/>
      </c>
      <c r="AB530" s="923"/>
      <c r="AC530" s="589"/>
      <c r="AD530" s="589"/>
    </row>
    <row r="531" spans="1:31" s="210" customFormat="1" ht="15.75" hidden="1" customHeight="1">
      <c r="A531" s="203" t="str">
        <f>IF(B531&lt;&gt;"",IF(AND(B531&gt;=_TM1,B531&lt;=_TM2,OR(TH!L531="1111",TH!M531="1111")),TH!D531,""),"")</f>
        <v/>
      </c>
      <c r="B531" s="36" t="str">
        <f t="shared" si="39"/>
        <v/>
      </c>
      <c r="C531" s="183"/>
      <c r="D531" s="190"/>
      <c r="E531" s="190"/>
      <c r="F531" s="191"/>
      <c r="G531" s="191"/>
      <c r="H531" s="7"/>
      <c r="I531" s="255"/>
      <c r="J531" s="255"/>
      <c r="K531" s="37"/>
      <c r="L531" s="193"/>
      <c r="M531" s="193"/>
      <c r="N531" s="51" t="str">
        <f>IF(AND('331-CT'!$E$7=TH!H641,OR(L531="331",M531="331")),"331",IF(AND(OR(L531="131",M531="131"),H531='131-CT'!$E$7),"131",""))</f>
        <v/>
      </c>
      <c r="O531" s="891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IF(OR(TH!L641=TH!$W$7,M531=TH!$W$7),"x","")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IF(AND(OR(LEFT(TH!L641,2)="15",LEFT(TH!M641,2)="15"),'152-CT'!$J$8=TH!F641),"x","")</f>
        <v/>
      </c>
      <c r="Z531" s="51" t="str">
        <f>IF(AND(OR(LEFT(TH!L641,2)="15",LEFT(TH!M641,2)="15"),TK!$E$7=TH!F641),"x","")</f>
        <v/>
      </c>
      <c r="AA531" s="51" t="str">
        <f>IF(AND(B531&lt;=NKC!$N$8,B531&gt;=NKC!$M$8),"x","")</f>
        <v/>
      </c>
      <c r="AB531" s="923"/>
      <c r="AC531" s="589"/>
      <c r="AD531" s="589"/>
    </row>
    <row r="532" spans="1:31" s="210" customFormat="1" ht="15.75" hidden="1" customHeight="1">
      <c r="A532" s="203" t="str">
        <f>IF(B532&lt;&gt;"",IF(AND(B532&gt;=_TM1,B532&lt;=_TM2,OR(TH!L532="1111",TH!M532="1111")),TH!D532,""),"")</f>
        <v/>
      </c>
      <c r="B532" s="36" t="str">
        <f t="shared" si="39"/>
        <v/>
      </c>
      <c r="C532" s="183"/>
      <c r="D532" s="190"/>
      <c r="E532" s="190"/>
      <c r="F532" s="191"/>
      <c r="G532" s="191"/>
      <c r="H532" s="7"/>
      <c r="I532" s="255"/>
      <c r="J532" s="255"/>
      <c r="K532" s="37"/>
      <c r="L532" s="193"/>
      <c r="M532" s="193"/>
      <c r="N532" s="51" t="str">
        <f>IF(AND('331-CT'!$E$7=TH!H642,OR(L532="331",M532="331")),"331",IF(AND(OR(L532="131",M532="131"),H532='131-CT'!$E$7),"131",""))</f>
        <v/>
      </c>
      <c r="O532" s="891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IF(OR(TH!L642=TH!$W$7,M532=TH!$W$7),"x","")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IF(AND(OR(LEFT(TH!L642,2)="15",LEFT(TH!M642,2)="15"),'152-CT'!$J$8=TH!F642),"x","")</f>
        <v/>
      </c>
      <c r="Z532" s="51" t="str">
        <f>IF(AND(OR(LEFT(TH!L642,2)="15",LEFT(TH!M642,2)="15"),TK!$E$7=TH!F642),"x","")</f>
        <v/>
      </c>
      <c r="AA532" s="51" t="str">
        <f>IF(AND(B532&lt;=NKC!$N$8,B532&gt;=NKC!$M$8),"x","")</f>
        <v/>
      </c>
      <c r="AB532" s="923"/>
      <c r="AC532" s="589"/>
      <c r="AD532" s="589"/>
    </row>
    <row r="533" spans="1:31" s="210" customFormat="1" ht="15.75" hidden="1" customHeight="1">
      <c r="A533" s="203" t="str">
        <f>IF(B533&lt;&gt;"",IF(AND(B533&gt;=_TM1,B533&lt;=_TM2,OR(TH!L533="1111",TH!M533="1111")),TH!D533,""),"")</f>
        <v/>
      </c>
      <c r="B533" s="36" t="str">
        <f t="shared" si="39"/>
        <v/>
      </c>
      <c r="C533" s="183"/>
      <c r="D533" s="190"/>
      <c r="E533" s="190"/>
      <c r="F533" s="191"/>
      <c r="G533" s="191"/>
      <c r="H533" s="192"/>
      <c r="I533" s="256"/>
      <c r="J533" s="256"/>
      <c r="K533" s="37"/>
      <c r="L533" s="193"/>
      <c r="M533" s="193"/>
      <c r="N533" s="51" t="str">
        <f>IF(AND('331-CT'!$E$7=TH!H643,OR(L533="331",M533="331")),"331",IF(AND(OR(L533="131",M533="131"),H533='131-CT'!$E$7),"131",""))</f>
        <v/>
      </c>
      <c r="O533" s="891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IF(OR(TH!L643=TH!$W$7,M533=TH!$W$7),"x","")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IF(AND(OR(LEFT(TH!L643,2)="15",LEFT(TH!M643,2)="15"),'152-CT'!$J$8=TH!F643),"x","")</f>
        <v/>
      </c>
      <c r="Z533" s="51" t="str">
        <f>IF(AND(OR(LEFT(TH!L643,2)="15",LEFT(TH!M643,2)="15"),TK!$E$7=TH!F643),"x","")</f>
        <v/>
      </c>
      <c r="AA533" s="51" t="str">
        <f>IF(AND(B533&lt;=NKC!$N$8,B533&gt;=NKC!$M$8),"x","")</f>
        <v/>
      </c>
      <c r="AB533" s="923"/>
      <c r="AC533" s="589"/>
      <c r="AD533" s="589"/>
    </row>
    <row r="534" spans="1:31" s="210" customFormat="1" ht="15.75" hidden="1" customHeight="1">
      <c r="A534" s="203" t="str">
        <f>IF(B534&lt;&gt;"",IF(AND(B534&gt;=_TM1,B534&lt;=_TM2,OR(TH!L534="1111",TH!M534="1111")),TH!D534,""),"")</f>
        <v/>
      </c>
      <c r="B534" s="36" t="str">
        <f t="shared" si="39"/>
        <v/>
      </c>
      <c r="C534" s="183"/>
      <c r="D534" s="190"/>
      <c r="E534" s="190"/>
      <c r="F534" s="191"/>
      <c r="G534" s="191"/>
      <c r="H534" s="192"/>
      <c r="I534" s="255"/>
      <c r="J534" s="255"/>
      <c r="K534" s="37"/>
      <c r="L534" s="193"/>
      <c r="M534" s="193"/>
      <c r="N534" s="51" t="str">
        <f>IF(AND('331-CT'!$E$7=TH!H644,OR(L534="331",M534="331")),"331",IF(AND(OR(L534="131",M534="131"),H534='131-CT'!$E$7),"131",""))</f>
        <v/>
      </c>
      <c r="O534" s="891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IF(OR(TH!L644=TH!$W$7,M534=TH!$W$7),"x","")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IF(AND(OR(LEFT(TH!L644,2)="15",LEFT(TH!M644,2)="15"),'152-CT'!$J$8=TH!F644),"x","")</f>
        <v/>
      </c>
      <c r="Z534" s="51" t="str">
        <f>IF(AND(OR(LEFT(TH!L644,2)="15",LEFT(TH!M644,2)="15"),TK!$E$7=TH!F644),"x","")</f>
        <v/>
      </c>
      <c r="AA534" s="51" t="str">
        <f>IF(AND(B534&lt;=NKC!$N$8,B534&gt;=NKC!$M$8),"x","")</f>
        <v/>
      </c>
      <c r="AB534" s="923"/>
      <c r="AC534" s="589"/>
      <c r="AD534" s="589"/>
    </row>
    <row r="535" spans="1:31" s="210" customFormat="1" ht="15.75" hidden="1" customHeight="1">
      <c r="A535" s="203" t="str">
        <f>IF(B535&lt;&gt;"",IF(AND(B535&gt;=_TM1,B535&lt;=_TM2,OR(TH!L535="1111",TH!M535="1111")),TH!D535,""),"")</f>
        <v/>
      </c>
      <c r="B535" s="36" t="str">
        <f t="shared" si="39"/>
        <v/>
      </c>
      <c r="C535" s="183"/>
      <c r="D535" s="190"/>
      <c r="E535" s="190"/>
      <c r="F535" s="191"/>
      <c r="G535" s="191"/>
      <c r="H535" s="192"/>
      <c r="I535" s="255"/>
      <c r="J535" s="255"/>
      <c r="K535" s="37"/>
      <c r="L535" s="193"/>
      <c r="M535" s="193"/>
      <c r="N535" s="51" t="str">
        <f>IF(AND('331-CT'!$E$7=TH!H645,OR(L535="331",M535="331")),"331",IF(AND(OR(L535="131",M535="131"),H535='131-CT'!$E$7),"131",""))</f>
        <v/>
      </c>
      <c r="O535" s="891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IF(OR(TH!L645=TH!$W$7,M535=TH!$W$7),"x","")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IF(AND(OR(LEFT(TH!L645,2)="15",LEFT(TH!M645,2)="15"),'152-CT'!$J$8=TH!F645),"x","")</f>
        <v/>
      </c>
      <c r="Z535" s="51" t="str">
        <f>IF(AND(OR(LEFT(TH!L645,2)="15",LEFT(TH!M645,2)="15"),TK!$E$7=TH!F645),"x","")</f>
        <v/>
      </c>
      <c r="AA535" s="51" t="str">
        <f>IF(AND(B535&lt;=NKC!$N$8,B535&gt;=NKC!$M$8),"x","")</f>
        <v/>
      </c>
      <c r="AB535" s="923"/>
      <c r="AC535" s="589"/>
      <c r="AD535" s="589"/>
    </row>
    <row r="536" spans="1:31" s="210" customFormat="1" ht="15.75" hidden="1" customHeight="1">
      <c r="A536" s="203" t="str">
        <f>IF(B536&lt;&gt;"",IF(AND(B536&gt;=_TM1,B536&lt;=_TM2,OR(TH!L536="1111",TH!M536="1111")),TH!D536,""),"")</f>
        <v/>
      </c>
      <c r="B536" s="36" t="str">
        <f t="shared" si="39"/>
        <v/>
      </c>
      <c r="C536" s="183"/>
      <c r="D536" s="190"/>
      <c r="E536" s="190"/>
      <c r="F536" s="191"/>
      <c r="G536" s="191"/>
      <c r="H536" s="192"/>
      <c r="I536" s="255"/>
      <c r="J536" s="255"/>
      <c r="K536" s="37"/>
      <c r="L536" s="193"/>
      <c r="M536" s="193"/>
      <c r="N536" s="51" t="str">
        <f>IF(AND('331-CT'!$E$7=TH!H647,OR(L536="331",M536="331")),"331",IF(AND(OR(L536="131",M536="131"),H536='131-CT'!$E$7),"131",""))</f>
        <v/>
      </c>
      <c r="O536" s="891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IF(OR(TH!L647=TH!$W$7,M536=TH!$W$7),"x","")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IF(AND(OR(LEFT(TH!L647,2)="15",LEFT(TH!M647,2)="15"),'152-CT'!$J$8=TH!F647),"x","")</f>
        <v/>
      </c>
      <c r="Z536" s="51" t="str">
        <f>IF(AND(OR(LEFT(TH!L647,2)="15",LEFT(TH!M647,2)="15"),TK!$E$7=TH!F647),"x","")</f>
        <v/>
      </c>
      <c r="AA536" s="51" t="str">
        <f>IF(AND(B536&lt;=NKC!$N$8,B536&gt;=NKC!$M$8),"x","")</f>
        <v/>
      </c>
      <c r="AB536" s="923"/>
      <c r="AC536" s="589"/>
    </row>
    <row r="537" spans="1:31" s="210" customFormat="1" ht="15.75" hidden="1" customHeight="1">
      <c r="A537" s="203" t="str">
        <f>IF(B537&lt;&gt;"",IF(AND(B537&gt;=_TM1,B537&lt;=_TM2,OR(TH!L537="1111",TH!M537="1111")),TH!D537,""),"")</f>
        <v/>
      </c>
      <c r="B537" s="36" t="str">
        <f t="shared" si="39"/>
        <v/>
      </c>
      <c r="C537" s="183"/>
      <c r="D537" s="190"/>
      <c r="E537" s="190"/>
      <c r="F537" s="191"/>
      <c r="G537" s="191"/>
      <c r="H537" s="192"/>
      <c r="I537" s="255"/>
      <c r="J537" s="255"/>
      <c r="K537" s="37"/>
      <c r="L537" s="193"/>
      <c r="M537" s="193"/>
      <c r="N537" s="51" t="str">
        <f>IF(AND('331-CT'!$E$7=TH!H648,OR(L537="331",M537="331")),"331",IF(AND(OR(L537="131",M537="131"),H537='131-CT'!$E$7),"131",""))</f>
        <v/>
      </c>
      <c r="O537" s="891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IF(OR(TH!L648=TH!$W$7,M537=TH!$W$7),"x","")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IF(AND(OR(LEFT(TH!L648,2)="15",LEFT(TH!M648,2)="15"),'152-CT'!$J$8=TH!F648),"x","")</f>
        <v/>
      </c>
      <c r="Z537" s="51" t="str">
        <f>IF(AND(OR(LEFT(TH!L648,2)="15",LEFT(TH!M648,2)="15"),TK!$E$7=TH!F648),"x","")</f>
        <v/>
      </c>
      <c r="AA537" s="51" t="str">
        <f>IF(AND(B537&lt;=NKC!$N$8,B537&gt;=NKC!$M$8),"x","")</f>
        <v/>
      </c>
      <c r="AB537" s="923"/>
      <c r="AC537" s="589"/>
      <c r="AD537" s="589"/>
    </row>
    <row r="538" spans="1:31" s="210" customFormat="1" ht="15.75" hidden="1" customHeight="1">
      <c r="A538" s="203" t="str">
        <f>IF(B538&lt;&gt;"",IF(AND(B538&gt;=_TM1,B538&lt;=_TM2,OR(TH!L538="1111",TH!M538="1111")),TH!D538,""),"")</f>
        <v/>
      </c>
      <c r="B538" s="36" t="str">
        <f t="shared" si="39"/>
        <v/>
      </c>
      <c r="C538" s="183"/>
      <c r="D538" s="190"/>
      <c r="E538" s="190"/>
      <c r="F538" s="191"/>
      <c r="G538" s="191"/>
      <c r="H538" s="209"/>
      <c r="I538" s="256"/>
      <c r="J538" s="256"/>
      <c r="K538" s="37"/>
      <c r="L538" s="193"/>
      <c r="M538" s="193"/>
      <c r="N538" s="51" t="str">
        <f>IF(AND('331-CT'!$E$7=TH!H649,OR(L538="331",M538="331")),"331",IF(AND(OR(L538="131",M538="131"),H538='131-CT'!$E$7),"131",""))</f>
        <v/>
      </c>
      <c r="O538" s="891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IF(OR(TH!L649=TH!$W$7,M538=TH!$W$7),"x","")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IF(AND(OR(LEFT(TH!L649,2)="15",LEFT(TH!M649,2)="15"),'152-CT'!$J$8=TH!F649),"x","")</f>
        <v/>
      </c>
      <c r="Z538" s="51" t="str">
        <f>IF(AND(OR(LEFT(TH!L649,2)="15",LEFT(TH!M649,2)="15"),TK!$E$7=TH!F649),"x","")</f>
        <v/>
      </c>
      <c r="AA538" s="51" t="str">
        <f>IF(AND(B538&lt;=NKC!$N$8,B538&gt;=NKC!$M$8),"x","")</f>
        <v/>
      </c>
      <c r="AB538" s="923"/>
      <c r="AC538" s="589"/>
      <c r="AD538" s="589"/>
      <c r="AE538" s="589"/>
    </row>
    <row r="539" spans="1:31" s="210" customFormat="1" ht="15.75" hidden="1" customHeight="1">
      <c r="A539" s="203" t="str">
        <f>IF(B539&lt;&gt;"",IF(AND(B539&gt;=_TM1,B539&lt;=_TM2,OR(TH!L539="1111",TH!M539="1111")),TH!D539,""),"")</f>
        <v/>
      </c>
      <c r="B539" s="36" t="str">
        <f t="shared" si="39"/>
        <v/>
      </c>
      <c r="C539" s="183"/>
      <c r="D539" s="190"/>
      <c r="E539" s="190"/>
      <c r="F539" s="191"/>
      <c r="G539" s="191"/>
      <c r="H539" s="192"/>
      <c r="I539" s="255"/>
      <c r="J539" s="255"/>
      <c r="K539" s="37"/>
      <c r="L539" s="193"/>
      <c r="M539" s="193"/>
      <c r="N539" s="51" t="str">
        <f>IF(AND('331-CT'!$E$7=TH!H650,OR(L539="331",M539="331")),"331",IF(AND(OR(L539="131",M539="131"),H539='131-CT'!$E$7),"131",""))</f>
        <v/>
      </c>
      <c r="O539" s="891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IF(OR(TH!L650=TH!$W$7,M539=TH!$W$7),"x","")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IF(AND(OR(LEFT(TH!L650,2)="15",LEFT(TH!M650,2)="15"),'152-CT'!$J$8=TH!F650),"x","")</f>
        <v/>
      </c>
      <c r="Z539" s="51" t="str">
        <f>IF(AND(OR(LEFT(TH!L650,2)="15",LEFT(TH!M650,2)="15"),TK!$E$7=TH!F650),"x","")</f>
        <v/>
      </c>
      <c r="AA539" s="51" t="str">
        <f>IF(AND(B539&lt;=NKC!$N$8,B539&gt;=NKC!$M$8),"x","")</f>
        <v/>
      </c>
      <c r="AB539" s="923"/>
      <c r="AC539" s="589"/>
      <c r="AD539" s="589"/>
      <c r="AE539" s="589"/>
    </row>
    <row r="540" spans="1:31" s="210" customFormat="1" ht="15.75" hidden="1" customHeight="1">
      <c r="A540" s="203" t="str">
        <f>IF(B540&lt;&gt;"",IF(AND(B540&gt;=_TM1,B540&lt;=_TM2,OR(TH!L540="1111",TH!M540="1111")),TH!D540,""),"")</f>
        <v/>
      </c>
      <c r="B540" s="36" t="str">
        <f t="shared" si="39"/>
        <v/>
      </c>
      <c r="C540" s="183"/>
      <c r="D540" s="190"/>
      <c r="E540" s="190"/>
      <c r="F540" s="191"/>
      <c r="G540" s="191"/>
      <c r="H540" s="192"/>
      <c r="I540" s="255"/>
      <c r="J540" s="255"/>
      <c r="K540" s="37"/>
      <c r="L540" s="193"/>
      <c r="M540" s="193"/>
      <c r="N540" s="51" t="str">
        <f>IF(AND('331-CT'!$E$7=TH!H651,OR(L540="331",M540="331")),"331",IF(AND(OR(L540="131",M540="131"),H540='131-CT'!$E$7),"131",""))</f>
        <v/>
      </c>
      <c r="O540" s="891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IF(OR(TH!L651=TH!$W$7,M540=TH!$W$7),"x","")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IF(AND(OR(LEFT(TH!L651,2)="15",LEFT(TH!M651,2)="15"),'152-CT'!$J$8=TH!F651),"x","")</f>
        <v/>
      </c>
      <c r="Z540" s="51" t="str">
        <f>IF(AND(OR(LEFT(TH!L651,2)="15",LEFT(TH!M651,2)="15"),TK!$E$7=TH!F651),"x","")</f>
        <v/>
      </c>
      <c r="AA540" s="51" t="str">
        <f>IF(AND(B540&lt;=NKC!$N$8,B540&gt;=NKC!$M$8),"x","")</f>
        <v/>
      </c>
      <c r="AB540" s="923"/>
      <c r="AC540" s="589"/>
      <c r="AD540" s="589"/>
      <c r="AE540" s="589"/>
    </row>
    <row r="541" spans="1:31" s="210" customFormat="1" ht="15.75" hidden="1" customHeight="1">
      <c r="A541" s="203" t="str">
        <f>IF(B541&lt;&gt;"",IF(AND(B541&gt;=_TM1,B541&lt;=_TM2,OR(TH!L541="1111",TH!M541="1111")),TH!D541,""),"")</f>
        <v/>
      </c>
      <c r="B541" s="36" t="str">
        <f t="shared" si="39"/>
        <v/>
      </c>
      <c r="C541" s="183"/>
      <c r="D541" s="190"/>
      <c r="E541" s="771"/>
      <c r="F541" s="191"/>
      <c r="G541" s="191"/>
      <c r="H541" s="192"/>
      <c r="I541" s="258"/>
      <c r="J541" s="258"/>
      <c r="K541" s="37"/>
      <c r="L541" s="193"/>
      <c r="M541" s="193"/>
      <c r="N541" s="51" t="str">
        <f>IF(AND('331-CT'!$E$7=TH!H652,OR(L541="331",M541="331")),"331",IF(AND(OR(L541="131",M541="131"),H541='131-CT'!$E$7),"131",""))</f>
        <v/>
      </c>
      <c r="O541" s="891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IF(OR(TH!L652=TH!$W$7,M541=TH!$W$7),"x","")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IF(AND(OR(LEFT(TH!L652,2)="15",LEFT(TH!M652,2)="15"),'152-CT'!$J$8=TH!F652),"x","")</f>
        <v/>
      </c>
      <c r="Z541" s="51" t="str">
        <f>IF(AND(OR(LEFT(TH!L652,2)="15",LEFT(TH!M652,2)="15"),TK!$E$7=TH!F652),"x","")</f>
        <v/>
      </c>
      <c r="AA541" s="51" t="str">
        <f>IF(AND(B541&lt;=NKC!$N$8,B541&gt;=NKC!$M$8),"x","")</f>
        <v/>
      </c>
      <c r="AB541" s="923"/>
      <c r="AC541" s="589"/>
      <c r="AD541" s="589"/>
      <c r="AE541" s="589"/>
    </row>
    <row r="542" spans="1:31" s="210" customFormat="1" ht="15.75" hidden="1" customHeight="1">
      <c r="A542" s="203" t="str">
        <f>IF(B542&lt;&gt;"",IF(AND(B542&gt;=_TM1,B542&lt;=_TM2,OR(TH!L542="1111",TH!M542="1111")),TH!D542,""),"")</f>
        <v/>
      </c>
      <c r="B542" s="36" t="str">
        <f t="shared" si="39"/>
        <v/>
      </c>
      <c r="C542" s="183"/>
      <c r="D542" s="190"/>
      <c r="E542" s="190"/>
      <c r="F542" s="191"/>
      <c r="G542" s="191"/>
      <c r="H542" s="192"/>
      <c r="I542" s="255"/>
      <c r="J542" s="255"/>
      <c r="K542" s="37"/>
      <c r="L542" s="193"/>
      <c r="M542" s="193"/>
      <c r="N542" s="51" t="str">
        <f>IF(AND('331-CT'!$E$7=TH!H653,OR(L542="331",M542="331")),"331",IF(AND(OR(L542="131",M542="131"),H542='131-CT'!$E$7),"131",""))</f>
        <v/>
      </c>
      <c r="O542" s="891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IF(OR(TH!L653=TH!$W$7,M542=TH!$W$7),"x","")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IF(AND(OR(LEFT(TH!L653,2)="15",LEFT(TH!M653,2)="15"),'152-CT'!$J$8=TH!F653),"x","")</f>
        <v/>
      </c>
      <c r="Z542" s="51" t="str">
        <f>IF(AND(OR(LEFT(TH!L653,2)="15",LEFT(TH!M653,2)="15"),TK!$E$7=TH!F653),"x","")</f>
        <v/>
      </c>
      <c r="AA542" s="51" t="str">
        <f>IF(AND(B542&lt;=NKC!$N$8,B542&gt;=NKC!$M$8),"x","")</f>
        <v/>
      </c>
      <c r="AB542" s="923"/>
      <c r="AC542" s="589"/>
      <c r="AD542" s="589"/>
      <c r="AE542" s="589"/>
    </row>
    <row r="543" spans="1:31" s="210" customFormat="1" ht="15.75" hidden="1" customHeight="1">
      <c r="A543" s="203" t="str">
        <f>IF(B543&lt;&gt;"",IF(AND(B543&gt;=_TM1,B543&lt;=_TM2,OR(TH!L543="1111",TH!M543="1111")),TH!D543,""),"")</f>
        <v/>
      </c>
      <c r="B543" s="36" t="str">
        <f t="shared" si="39"/>
        <v/>
      </c>
      <c r="C543" s="183"/>
      <c r="D543" s="190"/>
      <c r="E543" s="190"/>
      <c r="F543" s="191"/>
      <c r="G543" s="191"/>
      <c r="H543" s="192"/>
      <c r="I543" s="255"/>
      <c r="J543" s="255"/>
      <c r="K543" s="37"/>
      <c r="L543" s="193"/>
      <c r="M543" s="193"/>
      <c r="N543" s="51" t="str">
        <f>IF(AND('331-CT'!$E$7=TH!H654,OR(L543="331",M543="331")),"331",IF(AND(OR(L543="131",M543="131"),H543='131-CT'!$E$7),"131",""))</f>
        <v/>
      </c>
      <c r="O543" s="891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IF(OR(TH!L654=TH!$W$7,M543=TH!$W$7),"x","")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IF(AND(OR(LEFT(TH!L654,2)="15",LEFT(TH!M654,2)="15"),'152-CT'!$J$8=TH!F654),"x","")</f>
        <v/>
      </c>
      <c r="Z543" s="51" t="str">
        <f>IF(AND(OR(LEFT(TH!L654,2)="15",LEFT(TH!M654,2)="15"),TK!$E$7=TH!F654),"x","")</f>
        <v/>
      </c>
      <c r="AA543" s="51" t="str">
        <f>IF(AND(B543&lt;=NKC!$N$8,B543&gt;=NKC!$M$8),"x","")</f>
        <v/>
      </c>
      <c r="AB543" s="923"/>
      <c r="AC543" s="589"/>
      <c r="AD543" s="589"/>
      <c r="AE543" s="589"/>
    </row>
    <row r="544" spans="1:31" s="210" customFormat="1" ht="15.75" hidden="1" customHeight="1">
      <c r="A544" s="203" t="str">
        <f>IF(B544&lt;&gt;"",IF(AND(B544&gt;=_TM1,B544&lt;=_TM2,OR(TH!L544="1111",TH!M544="1111")),TH!D544,""),"")</f>
        <v/>
      </c>
      <c r="B544" s="36" t="str">
        <f t="shared" si="39"/>
        <v/>
      </c>
      <c r="C544" s="183"/>
      <c r="D544" s="190"/>
      <c r="E544" s="190"/>
      <c r="F544" s="191"/>
      <c r="G544" s="191"/>
      <c r="H544" s="191"/>
      <c r="I544" s="256"/>
      <c r="J544" s="256"/>
      <c r="K544" s="37"/>
      <c r="L544" s="193"/>
      <c r="M544" s="193"/>
      <c r="N544" s="51" t="str">
        <f>IF(AND('331-CT'!$E$7=TH!H655,OR(L544="331",M544="331")),"331",IF(AND(OR(L544="131",M544="131"),H544='131-CT'!$E$7),"131",""))</f>
        <v/>
      </c>
      <c r="O544" s="891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IF(OR(TH!L655=TH!$W$7,M544=TH!$W$7),"x","")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IF(AND(OR(LEFT(TH!L655,2)="15",LEFT(TH!M655,2)="15"),'152-CT'!$J$8=TH!F655),"x","")</f>
        <v/>
      </c>
      <c r="Z544" s="51" t="str">
        <f>IF(AND(OR(LEFT(TH!L655,2)="15",LEFT(TH!M655,2)="15"),TK!$E$7=TH!F655),"x","")</f>
        <v/>
      </c>
      <c r="AA544" s="51" t="str">
        <f>IF(AND(B544&lt;=NKC!$N$8,B544&gt;=NKC!$M$8),"x","")</f>
        <v/>
      </c>
      <c r="AB544" s="923"/>
      <c r="AC544" s="589"/>
      <c r="AD544" s="589"/>
    </row>
    <row r="545" spans="1:33" s="210" customFormat="1" ht="15.75" hidden="1" customHeight="1">
      <c r="A545" s="203" t="str">
        <f>IF(B545&lt;&gt;"",IF(AND(B545&gt;=_TM1,B545&lt;=_TM2,OR(TH!L545="1111",TH!M545="1111")),TH!D545,""),"")</f>
        <v/>
      </c>
      <c r="B545" s="36" t="str">
        <f t="shared" si="39"/>
        <v/>
      </c>
      <c r="C545" s="183"/>
      <c r="D545" s="190"/>
      <c r="E545" s="190"/>
      <c r="F545" s="191"/>
      <c r="G545" s="191"/>
      <c r="H545" s="209"/>
      <c r="I545" s="256"/>
      <c r="J545" s="256"/>
      <c r="K545" s="37"/>
      <c r="L545" s="193"/>
      <c r="M545" s="193"/>
      <c r="N545" s="51" t="str">
        <f>IF(AND('331-CT'!$E$7=TH!H656,OR(L545="331",M545="331")),"331",IF(AND(OR(L545="131",M545="131"),H545='131-CT'!$E$7),"131",""))</f>
        <v/>
      </c>
      <c r="O545" s="891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IF(OR(TH!L656=TH!$W$7,M545=TH!$W$7),"x","")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IF(AND(OR(LEFT(TH!L656,2)="15",LEFT(TH!M656,2)="15"),'152-CT'!$J$8=TH!F656),"x","")</f>
        <v/>
      </c>
      <c r="Z545" s="51" t="str">
        <f>IF(AND(OR(LEFT(TH!L656,2)="15",LEFT(TH!M656,2)="15"),TK!$E$7=TH!F656),"x","")</f>
        <v/>
      </c>
      <c r="AA545" s="51" t="str">
        <f>IF(AND(B545&lt;=NKC!$N$8,B545&gt;=NKC!$M$8),"x","")</f>
        <v/>
      </c>
      <c r="AB545" s="923"/>
      <c r="AC545" s="589"/>
      <c r="AD545" s="589"/>
    </row>
    <row r="546" spans="1:33" s="210" customFormat="1" ht="15.75" hidden="1" customHeight="1">
      <c r="A546" s="203" t="str">
        <f>IF(B546&lt;&gt;"",IF(AND(B546&gt;=_TM1,B546&lt;=_TM2,OR(TH!L546="1111",TH!M546="1111")),TH!D546,""),"")</f>
        <v/>
      </c>
      <c r="B546" s="36" t="str">
        <f t="shared" si="39"/>
        <v/>
      </c>
      <c r="C546" s="183"/>
      <c r="D546" s="190"/>
      <c r="E546" s="190"/>
      <c r="F546" s="191"/>
      <c r="G546" s="191"/>
      <c r="H546" s="192"/>
      <c r="I546" s="255"/>
      <c r="J546" s="255"/>
      <c r="K546" s="37"/>
      <c r="L546" s="193"/>
      <c r="M546" s="193"/>
      <c r="N546" s="51" t="str">
        <f>IF(AND('331-CT'!$E$7=TH!H657,OR(L546="331",M546="331")),"331",IF(AND(OR(L546="131",M546="131"),H546='131-CT'!$E$7),"131",""))</f>
        <v/>
      </c>
      <c r="O546" s="891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IF(OR(TH!L657=TH!$W$7,M546=TH!$W$7),"x","")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IF(AND(OR(LEFT(TH!L657,2)="15",LEFT(TH!M657,2)="15"),'152-CT'!$J$8=TH!F657),"x","")</f>
        <v/>
      </c>
      <c r="Z546" s="51" t="str">
        <f>IF(AND(OR(LEFT(TH!L657,2)="15",LEFT(TH!M657,2)="15"),TK!$E$7=TH!F657),"x","")</f>
        <v/>
      </c>
      <c r="AA546" s="51" t="str">
        <f>IF(AND(B546&lt;=NKC!$N$8,B546&gt;=NKC!$M$8),"x","")</f>
        <v/>
      </c>
      <c r="AB546" s="923"/>
      <c r="AC546" s="589"/>
      <c r="AD546" s="589"/>
    </row>
    <row r="547" spans="1:33" s="210" customFormat="1" ht="15.75" hidden="1" customHeight="1">
      <c r="A547" s="203" t="str">
        <f>IF(B547&lt;&gt;"",IF(AND(B547&gt;=_TM1,B547&lt;=_TM2,OR(TH!L547="1111",TH!M547="1111")),TH!D547,""),"")</f>
        <v/>
      </c>
      <c r="B547" s="36" t="str">
        <f t="shared" si="39"/>
        <v/>
      </c>
      <c r="C547" s="183"/>
      <c r="D547" s="190"/>
      <c r="E547" s="190"/>
      <c r="F547" s="191"/>
      <c r="G547" s="191"/>
      <c r="H547" s="192"/>
      <c r="I547" s="255"/>
      <c r="J547" s="255"/>
      <c r="K547" s="37"/>
      <c r="L547" s="193"/>
      <c r="M547" s="193"/>
      <c r="N547" s="51" t="str">
        <f>IF(AND('331-CT'!$E$7=TH!H658,OR(L547="331",M547="331")),"331",IF(AND(OR(L547="131",M547="131"),H547='131-CT'!$E$7),"131",""))</f>
        <v/>
      </c>
      <c r="O547" s="891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IF(OR(TH!L658=TH!$W$7,M547=TH!$W$7),"x","")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IF(AND(OR(LEFT(TH!L658,2)="15",LEFT(TH!M658,2)="15"),'152-CT'!$J$8=TH!F658),"x","")</f>
        <v/>
      </c>
      <c r="Z547" s="51" t="str">
        <f>IF(AND(OR(LEFT(TH!L658,2)="15",LEFT(TH!M658,2)="15"),TK!$E$7=TH!F658),"x","")</f>
        <v/>
      </c>
      <c r="AA547" s="51" t="str">
        <f>IF(AND(B547&lt;=NKC!$N$8,B547&gt;=NKC!$M$8),"x","")</f>
        <v/>
      </c>
      <c r="AB547" s="923"/>
      <c r="AC547" s="589"/>
    </row>
    <row r="548" spans="1:33" s="210" customFormat="1" ht="15.75" hidden="1" customHeight="1">
      <c r="A548" s="203" t="str">
        <f>IF(B548&lt;&gt;"",IF(AND(B548&gt;=_TM1,B548&lt;=_TM2,OR(TH!L548="1111",TH!M548="1111")),TH!D548,""),"")</f>
        <v/>
      </c>
      <c r="B548" s="36" t="str">
        <f t="shared" si="39"/>
        <v/>
      </c>
      <c r="C548" s="183"/>
      <c r="D548" s="190"/>
      <c r="E548" s="190"/>
      <c r="F548" s="191"/>
      <c r="G548" s="191"/>
      <c r="H548" s="192"/>
      <c r="I548" s="255"/>
      <c r="J548" s="255"/>
      <c r="K548" s="37"/>
      <c r="L548" s="193"/>
      <c r="M548" s="193"/>
      <c r="N548" s="51" t="str">
        <f>IF(AND('331-CT'!$E$7=TH!H659,OR(L548="331",M548="331")),"331",IF(AND(OR(L548="131",M548="131"),H548='131-CT'!$E$7),"131",""))</f>
        <v/>
      </c>
      <c r="O548" s="891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IF(OR(TH!L659=TH!$W$7,M548=TH!$W$7),"x","")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IF(AND(OR(LEFT(TH!L659,2)="15",LEFT(TH!M659,2)="15"),'152-CT'!$J$8=TH!F659),"x","")</f>
        <v/>
      </c>
      <c r="Z548" s="51" t="str">
        <f>IF(AND(OR(LEFT(TH!L659,2)="15",LEFT(TH!M659,2)="15"),TK!$E$7=TH!F659),"x","")</f>
        <v/>
      </c>
      <c r="AA548" s="51" t="str">
        <f>IF(AND(B548&lt;=NKC!$N$8,B548&gt;=NKC!$M$8),"x","")</f>
        <v/>
      </c>
      <c r="AB548" s="923"/>
      <c r="AC548" s="589"/>
      <c r="AD548" s="589"/>
    </row>
    <row r="549" spans="1:33" s="210" customFormat="1" ht="15.75" hidden="1" customHeight="1">
      <c r="A549" s="203" t="str">
        <f>IF(B549&lt;&gt;"",IF(AND(B549&gt;=_TM1,B549&lt;=_TM2,OR(TH!L549="1111",TH!M549="1111")),TH!D549,""),"")</f>
        <v/>
      </c>
      <c r="B549" s="36" t="str">
        <f t="shared" si="39"/>
        <v/>
      </c>
      <c r="C549" s="183"/>
      <c r="D549" s="190"/>
      <c r="E549" s="771"/>
      <c r="F549" s="191"/>
      <c r="G549" s="191"/>
      <c r="H549" s="783"/>
      <c r="I549" s="258"/>
      <c r="J549" s="258"/>
      <c r="K549" s="37"/>
      <c r="L549" s="193"/>
      <c r="M549" s="193"/>
      <c r="N549" s="51" t="str">
        <f>IF(AND('331-CT'!$E$7=TH!H660,OR(L549="331",M549="331")),"331",IF(AND(OR(L549="131",M549="131"),H549='131-CT'!$E$7),"131",""))</f>
        <v/>
      </c>
      <c r="O549" s="891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IF(OR(TH!L660=TH!$W$7,M549=TH!$W$7),"x","")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IF(AND(OR(LEFT(TH!L660,2)="15",LEFT(TH!M660,2)="15"),'152-CT'!$J$8=TH!F660),"x","")</f>
        <v/>
      </c>
      <c r="Z549" s="51" t="str">
        <f>IF(AND(OR(LEFT(TH!L660,2)="15",LEFT(TH!M660,2)="15"),TK!$E$7=TH!F660),"x","")</f>
        <v/>
      </c>
      <c r="AA549" s="51" t="str">
        <f>IF(AND(B549&lt;=NKC!$N$8,B549&gt;=NKC!$M$8),"x","")</f>
        <v/>
      </c>
      <c r="AB549" s="923"/>
      <c r="AC549" s="589"/>
      <c r="AD549" s="589"/>
    </row>
    <row r="550" spans="1:33" s="210" customFormat="1" ht="15.75" hidden="1" customHeight="1">
      <c r="A550" s="203" t="str">
        <f>IF(B550&lt;&gt;"",IF(AND(B550&gt;=_TM1,B550&lt;=_TM2,OR(TH!L550="1111",TH!M550="1111")),TH!D550,""),"")</f>
        <v/>
      </c>
      <c r="B550" s="36" t="str">
        <f t="shared" si="39"/>
        <v/>
      </c>
      <c r="C550" s="183"/>
      <c r="D550" s="190"/>
      <c r="E550" s="190"/>
      <c r="F550" s="191"/>
      <c r="G550" s="191"/>
      <c r="H550" s="192"/>
      <c r="I550" s="255"/>
      <c r="J550" s="255"/>
      <c r="K550" s="37"/>
      <c r="L550" s="193"/>
      <c r="M550" s="193"/>
      <c r="N550" s="51" t="str">
        <f>IF(AND('331-CT'!$E$7=TH!H661,OR(L550="331",M550="331")),"331",IF(AND(OR(L550="131",M550="131"),H550='131-CT'!$E$7),"131",""))</f>
        <v/>
      </c>
      <c r="O550" s="891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IF(OR(TH!L661=TH!$W$7,M550=TH!$W$7),"x","")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IF(AND(OR(LEFT(TH!L661,2)="15",LEFT(TH!M661,2)="15"),'152-CT'!$J$8=TH!F661),"x","")</f>
        <v/>
      </c>
      <c r="Z550" s="51" t="str">
        <f>IF(AND(OR(LEFT(TH!L661,2)="15",LEFT(TH!M661,2)="15"),TK!$E$7=TH!F661),"x","")</f>
        <v/>
      </c>
      <c r="AA550" s="51" t="str">
        <f>IF(AND(B550&lt;=NKC!$N$8,B550&gt;=NKC!$M$8),"x","")</f>
        <v/>
      </c>
      <c r="AB550" s="923"/>
      <c r="AC550" s="589"/>
      <c r="AD550" s="589"/>
    </row>
    <row r="551" spans="1:33" s="210" customFormat="1" ht="15.75" hidden="1" customHeight="1">
      <c r="A551" s="203" t="str">
        <f>IF(B551&lt;&gt;"",IF(AND(B551&gt;=_TM1,B551&lt;=_TM2,OR(TH!L551="1111",TH!M551="1111")),TH!D551,""),"")</f>
        <v/>
      </c>
      <c r="B551" s="36" t="str">
        <f t="shared" si="39"/>
        <v/>
      </c>
      <c r="C551" s="183"/>
      <c r="D551" s="190"/>
      <c r="E551" s="190"/>
      <c r="F551" s="191"/>
      <c r="G551" s="191"/>
      <c r="H551" s="192"/>
      <c r="I551" s="255"/>
      <c r="J551" s="255"/>
      <c r="K551" s="37"/>
      <c r="L551" s="193"/>
      <c r="M551" s="193"/>
      <c r="N551" s="51" t="str">
        <f>IF(AND('331-CT'!$E$7=TH!H662,OR(L551="331",M551="331")),"331",IF(AND(OR(L551="131",M551="131"),H551='131-CT'!$E$7),"131",""))</f>
        <v/>
      </c>
      <c r="O551" s="891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IF(OR(TH!L662=TH!$W$7,M551=TH!$W$7),"x","")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IF(AND(OR(LEFT(TH!L662,2)="15",LEFT(TH!M662,2)="15"),'152-CT'!$J$8=TH!F662),"x","")</f>
        <v/>
      </c>
      <c r="Z551" s="51" t="str">
        <f>IF(AND(OR(LEFT(TH!L662,2)="15",LEFT(TH!M662,2)="15"),TK!$E$7=TH!F662),"x","")</f>
        <v/>
      </c>
      <c r="AA551" s="51" t="str">
        <f>IF(AND(B551&lt;=NKC!$N$8,B551&gt;=NKC!$M$8),"x","")</f>
        <v/>
      </c>
      <c r="AB551" s="923"/>
      <c r="AC551" s="589"/>
    </row>
    <row r="552" spans="1:33" s="210" customFormat="1" ht="15.75" hidden="1" customHeight="1">
      <c r="A552" s="203" t="str">
        <f>IF(B552&lt;&gt;"",IF(AND(B552&gt;=_TM1,B552&lt;=_TM2,OR(TH!L552="1111",TH!M552="1111")),TH!D552,""),"")</f>
        <v/>
      </c>
      <c r="B552" s="36" t="str">
        <f t="shared" si="39"/>
        <v/>
      </c>
      <c r="C552" s="183"/>
      <c r="D552" s="190"/>
      <c r="E552" s="190"/>
      <c r="F552" s="191"/>
      <c r="G552" s="191"/>
      <c r="H552" s="192"/>
      <c r="I552" s="255"/>
      <c r="J552" s="255"/>
      <c r="K552" s="37"/>
      <c r="L552" s="193"/>
      <c r="M552" s="193"/>
      <c r="N552" s="51" t="str">
        <f>IF(AND('331-CT'!$E$7=TH!H663,OR(L552="331",M552="331")),"331",IF(AND(OR(L552="131",M552="131"),H552='131-CT'!$E$7),"131",""))</f>
        <v/>
      </c>
      <c r="O552" s="891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IF(OR(TH!L663=TH!$W$7,M552=TH!$W$7),"x","")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IF(AND(OR(LEFT(TH!L663,2)="15",LEFT(TH!M663,2)="15"),'152-CT'!$J$8=TH!F663),"x","")</f>
        <v/>
      </c>
      <c r="Z552" s="51" t="str">
        <f>IF(AND(OR(LEFT(TH!L663,2)="15",LEFT(TH!M663,2)="15"),TK!$E$7=TH!F663),"x","")</f>
        <v/>
      </c>
      <c r="AA552" s="51" t="str">
        <f>IF(AND(B552&lt;=NKC!$N$8,B552&gt;=NKC!$M$8),"x","")</f>
        <v/>
      </c>
      <c r="AB552" s="923"/>
      <c r="AC552" s="589"/>
      <c r="AD552" s="589"/>
    </row>
    <row r="553" spans="1:33" s="210" customFormat="1" ht="15.75" hidden="1" customHeight="1">
      <c r="A553" s="203" t="str">
        <f>IF(B553&lt;&gt;"",IF(AND(B553&gt;=_TM1,B553&lt;=_TM2,OR(TH!L553="1111",TH!M553="1111")),TH!D553,""),"")</f>
        <v/>
      </c>
      <c r="B553" s="36" t="str">
        <f t="shared" si="39"/>
        <v/>
      </c>
      <c r="C553" s="183"/>
      <c r="D553" s="190"/>
      <c r="E553" s="190"/>
      <c r="F553" s="191"/>
      <c r="G553" s="191"/>
      <c r="H553" s="192"/>
      <c r="I553" s="255"/>
      <c r="J553" s="255"/>
      <c r="K553" s="37"/>
      <c r="L553" s="193"/>
      <c r="M553" s="193"/>
      <c r="N553" s="51" t="str">
        <f>IF(AND('331-CT'!$E$7=TH!H664,OR(L553="331",M553="331")),"331",IF(AND(OR(L553="131",M553="131"),H553='131-CT'!$E$7),"131",""))</f>
        <v/>
      </c>
      <c r="O553" s="891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IF(OR(TH!L664=TH!$W$7,M553=TH!$W$7),"x","")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IF(AND(OR(LEFT(TH!L664,2)="15",LEFT(TH!M664,2)="15"),'152-CT'!$J$8=TH!F664),"x","")</f>
        <v/>
      </c>
      <c r="Z553" s="51" t="str">
        <f>IF(AND(OR(LEFT(TH!L664,2)="15",LEFT(TH!M664,2)="15"),TK!$E$7=TH!F664),"x","")</f>
        <v/>
      </c>
      <c r="AA553" s="51" t="str">
        <f>IF(AND(B553&lt;=NKC!$N$8,B553&gt;=NKC!$M$8),"x","")</f>
        <v/>
      </c>
      <c r="AB553" s="923"/>
      <c r="AC553" s="589"/>
      <c r="AD553" s="589"/>
    </row>
    <row r="554" spans="1:33" s="210" customFormat="1" ht="15.75" hidden="1" customHeight="1">
      <c r="A554" s="203" t="str">
        <f>IF(B554&lt;&gt;"",IF(AND(B554&gt;=_TM1,B554&lt;=_TM2,OR(TH!L554="1111",TH!M554="1111")),TH!D554,""),"")</f>
        <v/>
      </c>
      <c r="B554" s="36" t="str">
        <f t="shared" si="39"/>
        <v/>
      </c>
      <c r="C554" s="183"/>
      <c r="D554" s="190"/>
      <c r="E554" s="190"/>
      <c r="F554" s="191"/>
      <c r="G554" s="191"/>
      <c r="H554" s="192"/>
      <c r="I554" s="255"/>
      <c r="J554" s="255"/>
      <c r="K554" s="37"/>
      <c r="L554" s="193"/>
      <c r="M554" s="193"/>
      <c r="N554" s="51" t="str">
        <f>IF(AND('331-CT'!$E$7=TH!H665,OR(L554="331",M554="331")),"331",IF(AND(OR(L554="131",M554="131"),H554='131-CT'!$E$7),"131",""))</f>
        <v/>
      </c>
      <c r="O554" s="891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IF(OR(TH!L665=TH!$W$7,M554=TH!$W$7),"x","")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IF(AND(OR(LEFT(TH!L665,2)="15",LEFT(TH!M665,2)="15"),'152-CT'!$J$8=TH!F665),"x","")</f>
        <v/>
      </c>
      <c r="Z554" s="51" t="str">
        <f>IF(AND(OR(LEFT(TH!L665,2)="15",LEFT(TH!M665,2)="15"),TK!$E$7=TH!F665),"x","")</f>
        <v/>
      </c>
      <c r="AA554" s="51" t="str">
        <f>IF(AND(B554&lt;=NKC!$N$8,B554&gt;=NKC!$M$8),"x","")</f>
        <v/>
      </c>
      <c r="AB554" s="923"/>
      <c r="AC554" s="589"/>
      <c r="AD554" s="589"/>
    </row>
    <row r="555" spans="1:33" s="210" customFormat="1" ht="15.75" hidden="1" customHeight="1">
      <c r="A555" s="203" t="str">
        <f>IF(B555&lt;&gt;"",IF(AND(B555&gt;=_TM1,B555&lt;=_TM2,OR(TH!L555="1111",TH!M555="1111")),TH!D555,""),"")</f>
        <v/>
      </c>
      <c r="B555" s="36" t="str">
        <f t="shared" si="39"/>
        <v/>
      </c>
      <c r="C555" s="183"/>
      <c r="D555" s="190"/>
      <c r="E555" s="190"/>
      <c r="F555" s="191"/>
      <c r="G555" s="191"/>
      <c r="H555" s="192"/>
      <c r="I555" s="255"/>
      <c r="J555" s="255"/>
      <c r="K555" s="37"/>
      <c r="L555" s="193"/>
      <c r="M555" s="193"/>
      <c r="N555" s="51" t="str">
        <f>IF(AND('331-CT'!$E$7=TH!H666,OR(L555="331",M555="331")),"331",IF(AND(OR(L555="131",M555="131"),H555='131-CT'!$E$7),"131",""))</f>
        <v/>
      </c>
      <c r="O555" s="891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IF(OR(TH!L666=TH!$W$7,M555=TH!$W$7),"x","")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IF(AND(OR(LEFT(TH!L666,2)="15",LEFT(TH!M666,2)="15"),'152-CT'!$J$8=TH!F666),"x","")</f>
        <v/>
      </c>
      <c r="Z555" s="51" t="str">
        <f>IF(AND(OR(LEFT(TH!L666,2)="15",LEFT(TH!M666,2)="15"),TK!$E$7=TH!F666),"x","")</f>
        <v/>
      </c>
      <c r="AA555" s="51" t="str">
        <f>IF(AND(B555&lt;=NKC!$N$8,B555&gt;=NKC!$M$8),"x","")</f>
        <v/>
      </c>
      <c r="AB555" s="923"/>
      <c r="AC555" s="589"/>
      <c r="AD555" s="589"/>
    </row>
    <row r="556" spans="1:33" s="210" customFormat="1" ht="15.75" hidden="1" customHeight="1">
      <c r="A556" s="203" t="str">
        <f>IF(B556&lt;&gt;"",IF(AND(B556&gt;=_TM1,B556&lt;=_TM2,OR(TH!L556="1111",TH!M556="1111")),TH!D556,""),"")</f>
        <v/>
      </c>
      <c r="B556" s="36" t="str">
        <f t="shared" si="39"/>
        <v/>
      </c>
      <c r="C556" s="183"/>
      <c r="D556" s="190"/>
      <c r="E556" s="190"/>
      <c r="F556" s="191"/>
      <c r="G556" s="191"/>
      <c r="H556" s="191"/>
      <c r="I556" s="255"/>
      <c r="J556" s="255"/>
      <c r="K556" s="37"/>
      <c r="L556" s="193"/>
      <c r="M556" s="193"/>
      <c r="N556" s="51" t="str">
        <f>IF(AND('331-CT'!$E$7=TH!H667,OR(L556="331",M556="331")),"331",IF(AND(OR(L556="131",M556="131"),H556='131-CT'!$E$7),"131",""))</f>
        <v/>
      </c>
      <c r="O556" s="891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IF(OR(TH!L667=TH!$W$7,M556=TH!$W$7),"x","")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IF(AND(OR(LEFT(TH!L667,2)="15",LEFT(TH!M667,2)="15"),'152-CT'!$J$8=TH!F667),"x","")</f>
        <v/>
      </c>
      <c r="Z556" s="51" t="str">
        <f>IF(AND(OR(LEFT(TH!L667,2)="15",LEFT(TH!M667,2)="15"),TK!$E$7=TH!F667),"x","")</f>
        <v/>
      </c>
      <c r="AA556" s="51" t="str">
        <f>IF(AND(B556&lt;=NKC!$N$8,B556&gt;=NKC!$M$8),"x","")</f>
        <v/>
      </c>
      <c r="AB556" s="923"/>
      <c r="AC556" s="589"/>
      <c r="AD556" s="589"/>
    </row>
    <row r="557" spans="1:33" s="210" customFormat="1" ht="15.75" hidden="1" customHeight="1">
      <c r="A557" s="203" t="str">
        <f>IF(B557&lt;&gt;"",IF(AND(B557&gt;=_TM1,B557&lt;=_TM2,OR(TH!L557="1111",TH!M557="1111")),TH!D557,""),"")</f>
        <v/>
      </c>
      <c r="B557" s="36" t="str">
        <f t="shared" si="39"/>
        <v/>
      </c>
      <c r="C557" s="183"/>
      <c r="D557" s="190"/>
      <c r="E557" s="190"/>
      <c r="F557" s="191"/>
      <c r="G557" s="479"/>
      <c r="H557" s="44"/>
      <c r="I557" s="255"/>
      <c r="J557" s="255"/>
      <c r="K557" s="37"/>
      <c r="L557" s="193"/>
      <c r="M557" s="598"/>
      <c r="N557" s="51" t="str">
        <f>IF(AND('331-CT'!$E$7=TH!H325,OR(L557="331",M557="331")),"331",IF(AND(OR(L557="131",M557="131"),H557='131-CT'!$E$7),"131",""))</f>
        <v/>
      </c>
      <c r="O557" s="891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IF(OR(TH!L325=TH!$W$7,M557=TH!$W$7),"x","")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IF(AND(OR(LEFT(TH!L325,2)="15",LEFT(TH!M325,2)="15"),'152-CT'!$J$8=TH!F325),"x","")</f>
        <v/>
      </c>
      <c r="Z557" s="51" t="str">
        <f>IF(AND(OR(LEFT(TH!L325,2)="15",LEFT(TH!M325,2)="15"),TK!$E$7=TH!F325),"x","")</f>
        <v/>
      </c>
      <c r="AA557" s="51" t="str">
        <f>IF(AND(B557&lt;=NKC!$N$8,B557&gt;=NKC!$M$8),"x","")</f>
        <v/>
      </c>
      <c r="AB557" s="923"/>
      <c r="AC557" s="589"/>
      <c r="AD557" s="589"/>
    </row>
    <row r="558" spans="1:33" s="210" customFormat="1" ht="15.75" hidden="1" customHeight="1">
      <c r="A558" s="203" t="str">
        <f>IF(B558&lt;&gt;"",IF(AND(B558&gt;=_TM1,B558&lt;=_TM2,OR(TH!L558="1111",TH!M558="1111")),TH!D558,""),"")</f>
        <v/>
      </c>
      <c r="B558" s="36" t="str">
        <f t="shared" si="39"/>
        <v/>
      </c>
      <c r="C558" s="183"/>
      <c r="D558" s="190"/>
      <c r="E558" s="190"/>
      <c r="F558" s="191"/>
      <c r="G558" s="479"/>
      <c r="H558" s="44"/>
      <c r="I558" s="255"/>
      <c r="J558" s="255"/>
      <c r="K558" s="37"/>
      <c r="L558" s="193"/>
      <c r="M558" s="598"/>
      <c r="N558" s="51" t="str">
        <f>IF(AND('331-CT'!$E$7=TH!H326,OR(L558="331",M558="331")),"331",IF(AND(OR(L558="131",M558="131"),H558='131-CT'!$E$7),"131",""))</f>
        <v/>
      </c>
      <c r="O558" s="891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IF(OR(TH!L326=TH!$W$7,M558=TH!$W$7),"x","")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IF(AND(OR(LEFT(TH!L326,2)="15",LEFT(TH!M326,2)="15"),'152-CT'!$J$8=TH!F326),"x","")</f>
        <v/>
      </c>
      <c r="Z558" s="51" t="str">
        <f>IF(AND(OR(LEFT(TH!L326,2)="15",LEFT(TH!M326,2)="15"),TK!$E$7=TH!F326),"x","")</f>
        <v/>
      </c>
      <c r="AA558" s="51" t="str">
        <f>IF(AND(B558&lt;=NKC!$N$8,B558&gt;=NKC!$M$8),"x","")</f>
        <v/>
      </c>
      <c r="AB558" s="923"/>
      <c r="AC558" s="589"/>
      <c r="AD558" s="589"/>
    </row>
    <row r="559" spans="1:33" s="210" customFormat="1" ht="15.75" hidden="1" customHeight="1">
      <c r="A559" s="203" t="str">
        <f>IF(B559&lt;&gt;"",IF(AND(B559&gt;=_TM1,B559&lt;=_TM2,OR(TH!L559="1111",TH!M559="1111")),TH!D559,""),"")</f>
        <v/>
      </c>
      <c r="B559" s="36" t="str">
        <f t="shared" si="39"/>
        <v/>
      </c>
      <c r="C559" s="183"/>
      <c r="D559" s="190"/>
      <c r="E559" s="190"/>
      <c r="F559" s="191"/>
      <c r="G559" s="479"/>
      <c r="H559" s="44"/>
      <c r="I559" s="255"/>
      <c r="J559" s="255"/>
      <c r="K559" s="902"/>
      <c r="L559" s="193"/>
      <c r="M559" s="598"/>
      <c r="N559" s="51" t="str">
        <f>IF(AND('331-CT'!$E$7=TH!H327,OR(L559="331",M559="331")),"331",IF(AND(OR(L559="131",M559="131"),H559='131-CT'!$E$7),"131",""))</f>
        <v/>
      </c>
      <c r="O559" s="891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IF(OR(TH!L327=TH!$W$7,M559=TH!$W$7),"x","")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IF(AND(OR(LEFT(TH!L327,2)="15",LEFT(TH!M327,2)="15"),'152-CT'!$J$8=TH!F327),"x","")</f>
        <v/>
      </c>
      <c r="Z559" s="51" t="str">
        <f>IF(AND(OR(LEFT(TH!L327,2)="15",LEFT(TH!M327,2)="15"),TK!$E$7=TH!F327),"x","")</f>
        <v/>
      </c>
      <c r="AA559" s="51" t="str">
        <f>IF(AND(B559&lt;=NKC!$N$8,B559&gt;=NKC!$M$8),"x","")</f>
        <v/>
      </c>
      <c r="AB559" s="923"/>
      <c r="AC559" s="589"/>
      <c r="AD559" s="589"/>
    </row>
    <row r="560" spans="1:33" s="210" customFormat="1" ht="15.75" hidden="1" customHeight="1">
      <c r="A560" s="203" t="str">
        <f>IF(B560&lt;&gt;"",IF(AND(B560&gt;=_TM1,B560&lt;=_TM2,OR(TH!L560="1111",TH!M560="1111")),TH!D560,""),"")</f>
        <v/>
      </c>
      <c r="B560" s="36" t="str">
        <f t="shared" si="39"/>
        <v/>
      </c>
      <c r="C560" s="183"/>
      <c r="D560" s="190"/>
      <c r="E560" s="190"/>
      <c r="F560" s="191"/>
      <c r="G560" s="479"/>
      <c r="H560" s="44"/>
      <c r="I560" s="255"/>
      <c r="J560" s="255"/>
      <c r="K560" s="37"/>
      <c r="L560" s="193"/>
      <c r="M560" s="598"/>
      <c r="N560" s="51" t="str">
        <f>IF(AND('331-CT'!$E$7=TH!H328,OR(L560="331",M560="331")),"331",IF(AND(OR(L560="131",M560="131"),H560='131-CT'!$E$7),"131",""))</f>
        <v/>
      </c>
      <c r="O560" s="891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IF(OR(TH!L328=TH!$W$7,M560=TH!$W$7),"x","")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IF(AND(OR(LEFT(TH!L328,2)="15",LEFT(TH!M328,2)="15"),'152-CT'!$J$8=TH!F328),"x","")</f>
        <v/>
      </c>
      <c r="Z560" s="51" t="str">
        <f>IF(AND(OR(LEFT(TH!L328,2)="15",LEFT(TH!M328,2)="15"),TK!$E$7=TH!F328),"x","")</f>
        <v/>
      </c>
      <c r="AA560" s="51" t="str">
        <f>IF(AND(B560&lt;=NKC!$N$8,B560&gt;=NKC!$M$8),"x","")</f>
        <v/>
      </c>
      <c r="AB560" s="923"/>
      <c r="AC560" s="589"/>
      <c r="AD560" s="589"/>
      <c r="AF560" s="589"/>
      <c r="AG560" s="589"/>
    </row>
    <row r="561" spans="1:33" s="210" customFormat="1" ht="15.75" hidden="1" customHeight="1">
      <c r="A561" s="203" t="str">
        <f>IF(B561&lt;&gt;"",IF(AND(B561&gt;=_TM1,B561&lt;=_TM2,OR(TH!L561="1111",TH!M561="1111")),TH!D561,""),"")</f>
        <v/>
      </c>
      <c r="B561" s="36" t="str">
        <f t="shared" si="39"/>
        <v/>
      </c>
      <c r="C561" s="183"/>
      <c r="D561" s="190"/>
      <c r="E561" s="190"/>
      <c r="F561" s="191"/>
      <c r="G561" s="479"/>
      <c r="H561" s="44"/>
      <c r="I561" s="255"/>
      <c r="J561" s="255"/>
      <c r="K561" s="37"/>
      <c r="L561" s="193"/>
      <c r="M561" s="598"/>
      <c r="N561" s="51" t="str">
        <f>IF(AND('331-CT'!$E$7=TH!H329,OR(L561="331",M561="331")),"331",IF(AND(OR(L561="131",M561="131"),H561='131-CT'!$E$7),"131",""))</f>
        <v/>
      </c>
      <c r="O561" s="891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IF(OR(TH!L329=TH!$W$7,M561=TH!$W$7),"x","")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IF(AND(OR(LEFT(TH!L329,2)="15",LEFT(TH!M329,2)="15"),'152-CT'!$J$8=TH!F329),"x","")</f>
        <v/>
      </c>
      <c r="Z561" s="51" t="str">
        <f>IF(AND(OR(LEFT(TH!L329,2)="15",LEFT(TH!M329,2)="15"),TK!$E$7=TH!F329),"x","")</f>
        <v/>
      </c>
      <c r="AA561" s="51" t="str">
        <f>IF(AND(B561&lt;=NKC!$N$8,B561&gt;=NKC!$M$8),"x","")</f>
        <v/>
      </c>
      <c r="AB561" s="923"/>
      <c r="AC561" s="589"/>
      <c r="AF561" s="589"/>
      <c r="AG561" s="589"/>
    </row>
    <row r="562" spans="1:33" s="210" customFormat="1" ht="15.75" hidden="1" customHeight="1">
      <c r="A562" s="203" t="str">
        <f>IF(B562&lt;&gt;"",IF(AND(B562&gt;=_TM1,B562&lt;=_TM2,OR(TH!L562="1111",TH!M562="1111")),TH!D562,""),"")</f>
        <v/>
      </c>
      <c r="B562" s="36" t="str">
        <f t="shared" si="39"/>
        <v/>
      </c>
      <c r="C562" s="183"/>
      <c r="D562" s="190"/>
      <c r="E562" s="190"/>
      <c r="F562" s="191"/>
      <c r="G562" s="191"/>
      <c r="H562" s="192"/>
      <c r="I562" s="255"/>
      <c r="J562" s="255"/>
      <c r="K562" s="37"/>
      <c r="L562" s="193"/>
      <c r="M562" s="193"/>
      <c r="N562" s="51" t="str">
        <f>IF(AND('331-CT'!$E$7=TH!H668,OR(L562="331",M562="331")),"331",IF(AND(OR(L562="131",M562="131"),H562='131-CT'!$E$7),"131",""))</f>
        <v/>
      </c>
      <c r="O562" s="891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IF(OR(TH!L668=TH!$W$7,M562=TH!$W$7),"x","")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IF(AND(OR(LEFT(TH!L668,2)="15",LEFT(TH!M668,2)="15"),'152-CT'!$J$8=TH!F668),"x","")</f>
        <v/>
      </c>
      <c r="Z562" s="51" t="str">
        <f>IF(AND(OR(LEFT(TH!L668,2)="15",LEFT(TH!M668,2)="15"),TK!$E$7=TH!F668),"x","")</f>
        <v/>
      </c>
      <c r="AA562" s="51" t="str">
        <f>IF(AND(B562&lt;=NKC!$N$8,B562&gt;=NKC!$M$8),"x","")</f>
        <v/>
      </c>
      <c r="AB562" s="923"/>
      <c r="AC562" s="589"/>
      <c r="AD562" s="589"/>
    </row>
    <row r="563" spans="1:33" s="210" customFormat="1" ht="15.75" hidden="1" customHeight="1">
      <c r="A563" s="203" t="str">
        <f>IF(B563&lt;&gt;"",IF(AND(B563&gt;=_TM1,B563&lt;=_TM2,OR(TH!L563="1111",TH!M563="1111")),TH!D563,""),"")</f>
        <v/>
      </c>
      <c r="B563" s="36" t="str">
        <f t="shared" si="39"/>
        <v/>
      </c>
      <c r="C563" s="183"/>
      <c r="D563" s="190"/>
      <c r="E563" s="190"/>
      <c r="F563" s="191"/>
      <c r="G563" s="191"/>
      <c r="H563" s="192"/>
      <c r="I563" s="255"/>
      <c r="J563" s="255"/>
      <c r="K563" s="37"/>
      <c r="L563" s="193"/>
      <c r="M563" s="193"/>
      <c r="N563" s="51" t="str">
        <f>IF(AND('331-CT'!$E$7=TH!H669,OR(L563="331",M563="331")),"331",IF(AND(OR(L563="131",M563="131"),H563='131-CT'!$E$7),"131",""))</f>
        <v/>
      </c>
      <c r="O563" s="891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IF(OR(TH!L669=TH!$W$7,M563=TH!$W$7),"x","")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IF(AND(OR(LEFT(TH!L669,2)="15",LEFT(TH!M669,2)="15"),'152-CT'!$J$8=TH!F669),"x","")</f>
        <v/>
      </c>
      <c r="Z563" s="51" t="str">
        <f>IF(AND(OR(LEFT(TH!L669,2)="15",LEFT(TH!M669,2)="15"),TK!$E$7=TH!F669),"x","")</f>
        <v/>
      </c>
      <c r="AA563" s="51" t="str">
        <f>IF(AND(B563&lt;=NKC!$N$8,B563&gt;=NKC!$M$8),"x","")</f>
        <v/>
      </c>
      <c r="AB563" s="923"/>
      <c r="AC563" s="589"/>
      <c r="AD563" s="589"/>
      <c r="AE563" s="589"/>
    </row>
    <row r="564" spans="1:33" s="210" customFormat="1" ht="15.75" hidden="1" customHeight="1">
      <c r="A564" s="203" t="str">
        <f>IF(B564&lt;&gt;"",IF(AND(B564&gt;=_TM1,B564&lt;=_TM2,OR(TH!L564="1111",TH!M564="1111")),TH!D564,""),"")</f>
        <v/>
      </c>
      <c r="B564" s="36" t="str">
        <f t="shared" si="39"/>
        <v/>
      </c>
      <c r="C564" s="183"/>
      <c r="D564" s="190"/>
      <c r="E564" s="190"/>
      <c r="F564" s="191"/>
      <c r="G564" s="479"/>
      <c r="H564" s="44"/>
      <c r="I564" s="255"/>
      <c r="J564" s="255"/>
      <c r="K564" s="37"/>
      <c r="L564" s="193"/>
      <c r="M564" s="598"/>
      <c r="N564" s="51" t="str">
        <f>IF(AND('331-CT'!$E$7=TH!H330,OR(L564="331",M564="331")),"331",IF(AND(OR(L564="131",M564="131"),H564='131-CT'!$E$7),"131",""))</f>
        <v/>
      </c>
      <c r="O564" s="891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IF(OR(TH!L330=TH!$W$7,M564=TH!$W$7),"x","")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IF(AND(OR(LEFT(TH!L330,2)="15",LEFT(TH!M330,2)="15"),'152-CT'!$J$8=TH!F330),"x","")</f>
        <v/>
      </c>
      <c r="Z564" s="51" t="str">
        <f>IF(AND(OR(LEFT(TH!L330,2)="15",LEFT(TH!M330,2)="15"),TK!$E$7=TH!F330),"x","")</f>
        <v/>
      </c>
      <c r="AA564" s="51" t="str">
        <f>IF(AND(B564&lt;=NKC!$N$8,B564&gt;=NKC!$M$8),"x","")</f>
        <v/>
      </c>
      <c r="AB564" s="923"/>
      <c r="AC564" s="589"/>
      <c r="AD564" s="589"/>
      <c r="AF564" s="589"/>
      <c r="AG564" s="589"/>
    </row>
    <row r="565" spans="1:33" s="210" customFormat="1" ht="15.75" hidden="1" customHeight="1">
      <c r="A565" s="203" t="str">
        <f>IF(B565&lt;&gt;"",IF(AND(B565&gt;=_TM1,B565&lt;=_TM2,OR(TH!L565="1111",TH!M565="1111")),TH!D565,""),"")</f>
        <v/>
      </c>
      <c r="B565" s="36" t="str">
        <f t="shared" si="39"/>
        <v/>
      </c>
      <c r="C565" s="183"/>
      <c r="D565" s="190"/>
      <c r="E565" s="190"/>
      <c r="F565" s="191"/>
      <c r="G565" s="479"/>
      <c r="H565" s="44"/>
      <c r="I565" s="255"/>
      <c r="J565" s="255"/>
      <c r="K565" s="37"/>
      <c r="L565" s="193"/>
      <c r="M565" s="598"/>
      <c r="N565" s="51" t="str">
        <f>IF(AND('331-CT'!$E$7=TH!H331,OR(L565="331",M565="331")),"331",IF(AND(OR(L565="131",M565="131"),H565='131-CT'!$E$7),"131",""))</f>
        <v/>
      </c>
      <c r="O565" s="891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IF(OR(TH!L331=TH!$W$7,M565=TH!$W$7),"x","")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IF(AND(OR(LEFT(TH!L331,2)="15",LEFT(TH!M331,2)="15"),'152-CT'!$J$8=TH!F331),"x","")</f>
        <v/>
      </c>
      <c r="Z565" s="51" t="str">
        <f>IF(AND(OR(LEFT(TH!L331,2)="15",LEFT(TH!M331,2)="15"),TK!$E$7=TH!F331),"x","")</f>
        <v/>
      </c>
      <c r="AA565" s="51" t="str">
        <f>IF(AND(B565&lt;=NKC!$N$8,B565&gt;=NKC!$M$8),"x","")</f>
        <v/>
      </c>
      <c r="AB565" s="923"/>
      <c r="AC565" s="589"/>
      <c r="AF565" s="589"/>
      <c r="AG565" s="589"/>
    </row>
    <row r="566" spans="1:33" s="210" customFormat="1" ht="15.75" hidden="1" customHeight="1">
      <c r="A566" s="203" t="str">
        <f>IF(B566&lt;&gt;"",IF(AND(B566&gt;=_TM1,B566&lt;=_TM2,OR(TH!L566="1111",TH!M566="1111")),TH!D566,""),"")</f>
        <v/>
      </c>
      <c r="B566" s="36" t="str">
        <f t="shared" si="39"/>
        <v/>
      </c>
      <c r="C566" s="183"/>
      <c r="D566" s="190"/>
      <c r="E566" s="190"/>
      <c r="F566" s="191"/>
      <c r="G566" s="191"/>
      <c r="H566" s="192"/>
      <c r="I566" s="255"/>
      <c r="J566" s="255"/>
      <c r="K566" s="37"/>
      <c r="L566" s="193"/>
      <c r="M566" s="193"/>
      <c r="N566" s="51" t="str">
        <f>IF(AND('331-CT'!$E$7=TH!H670,OR(L566="331",M566="331")),"331",IF(AND(OR(L566="131",M566="131"),H566='131-CT'!$E$7),"131",""))</f>
        <v/>
      </c>
      <c r="O566" s="891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IF(OR(TH!L670=TH!$W$7,M566=TH!$W$7),"x","")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IF(AND(OR(LEFT(TH!L670,2)="15",LEFT(TH!M670,2)="15"),'152-CT'!$J$8=TH!F670),"x","")</f>
        <v/>
      </c>
      <c r="Z566" s="51" t="str">
        <f>IF(AND(OR(LEFT(TH!L670,2)="15",LEFT(TH!M670,2)="15"),TK!$E$7=TH!F670),"x","")</f>
        <v/>
      </c>
      <c r="AA566" s="51" t="str">
        <f>IF(AND(B566&lt;=NKC!$N$8,B566&gt;=NKC!$M$8),"x","")</f>
        <v/>
      </c>
      <c r="AB566" s="923"/>
      <c r="AC566" s="589"/>
      <c r="AD566" s="589"/>
      <c r="AE566" s="589"/>
    </row>
    <row r="567" spans="1:33" s="210" customFormat="1" ht="15.75" hidden="1" customHeight="1">
      <c r="A567" s="203" t="str">
        <f>IF(B567&lt;&gt;"",IF(AND(B567&gt;=_TM1,B567&lt;=_TM2,OR(TH!L567="1111",TH!M567="1111")),TH!D567,""),"")</f>
        <v/>
      </c>
      <c r="B567" s="36" t="str">
        <f t="shared" si="39"/>
        <v/>
      </c>
      <c r="C567" s="183"/>
      <c r="D567" s="190"/>
      <c r="E567" s="190"/>
      <c r="F567" s="191"/>
      <c r="G567" s="191"/>
      <c r="H567" s="192"/>
      <c r="I567" s="255"/>
      <c r="J567" s="255"/>
      <c r="K567" s="37"/>
      <c r="L567" s="193"/>
      <c r="M567" s="193"/>
      <c r="N567" s="51" t="str">
        <f>IF(AND('331-CT'!$E$7=TH!H671,OR(L567="331",M567="331")),"331",IF(AND(OR(L567="131",M567="131"),H567='131-CT'!$E$7),"131",""))</f>
        <v/>
      </c>
      <c r="O567" s="891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IF(OR(TH!L671=TH!$W$7,M567=TH!$W$7),"x","")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IF(AND(OR(LEFT(TH!L671,2)="15",LEFT(TH!M671,2)="15"),'152-CT'!$J$8=TH!F671),"x","")</f>
        <v/>
      </c>
      <c r="Z567" s="51" t="str">
        <f>IF(AND(OR(LEFT(TH!L671,2)="15",LEFT(TH!M671,2)="15"),TK!$E$7=TH!F671),"x","")</f>
        <v/>
      </c>
      <c r="AA567" s="51" t="str">
        <f>IF(AND(B567&lt;=NKC!$N$8,B567&gt;=NKC!$M$8),"x","")</f>
        <v/>
      </c>
      <c r="AB567" s="923"/>
      <c r="AC567" s="589"/>
      <c r="AD567" s="589"/>
    </row>
    <row r="568" spans="1:33" s="210" customFormat="1" ht="15.75" hidden="1" customHeight="1">
      <c r="A568" s="203" t="str">
        <f>IF(B568&lt;&gt;"",IF(AND(B568&gt;=_TM1,B568&lt;=_TM2,OR(TH!L568="1111",TH!M568="1111")),TH!D568,""),"")</f>
        <v/>
      </c>
      <c r="B568" s="36" t="str">
        <f t="shared" si="39"/>
        <v/>
      </c>
      <c r="C568" s="183"/>
      <c r="D568" s="190"/>
      <c r="E568" s="190"/>
      <c r="F568" s="191"/>
      <c r="G568" s="191"/>
      <c r="H568" s="192"/>
      <c r="I568" s="255"/>
      <c r="J568" s="255"/>
      <c r="K568" s="37"/>
      <c r="L568" s="193"/>
      <c r="M568" s="193"/>
      <c r="N568" s="51" t="str">
        <f>IF(AND('331-CT'!$E$7=TH!H672,OR(L568="331",M568="331")),"331",IF(AND(OR(L568="131",M568="131"),H568='131-CT'!$E$7),"131",""))</f>
        <v/>
      </c>
      <c r="O568" s="891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IF(OR(TH!L672=TH!$W$7,M568=TH!$W$7),"x","")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IF(AND(OR(LEFT(TH!L672,2)="15",LEFT(TH!M672,2)="15"),'152-CT'!$J$8=TH!F672),"x","")</f>
        <v/>
      </c>
      <c r="Z568" s="51" t="str">
        <f>IF(AND(OR(LEFT(TH!L672,2)="15",LEFT(TH!M672,2)="15"),TK!$E$7=TH!F672),"x","")</f>
        <v/>
      </c>
      <c r="AA568" s="51" t="str">
        <f>IF(AND(B568&lt;=NKC!$N$8,B568&gt;=NKC!$M$8),"x","")</f>
        <v/>
      </c>
      <c r="AB568" s="923"/>
      <c r="AC568" s="589"/>
      <c r="AD568" s="589"/>
    </row>
    <row r="569" spans="1:33" s="210" customFormat="1" ht="15.75" hidden="1" customHeight="1">
      <c r="A569" s="203" t="str">
        <f>IF(B569&lt;&gt;"",IF(AND(B569&gt;=_TM1,B569&lt;=_TM2,OR(TH!L569="1111",TH!M569="1111")),TH!D569,""),"")</f>
        <v/>
      </c>
      <c r="B569" s="36" t="str">
        <f t="shared" si="39"/>
        <v/>
      </c>
      <c r="C569" s="183"/>
      <c r="D569" s="190"/>
      <c r="E569" s="190"/>
      <c r="F569" s="191"/>
      <c r="G569" s="191"/>
      <c r="H569" s="209"/>
      <c r="I569" s="256"/>
      <c r="J569" s="256"/>
      <c r="K569" s="37"/>
      <c r="L569" s="193"/>
      <c r="M569" s="193"/>
      <c r="N569" s="51" t="str">
        <f>IF(AND('331-CT'!$E$7=TH!H673,OR(L569="331",M569="331")),"331",IF(AND(OR(L569="131",M569="131"),H569='131-CT'!$E$7),"131",""))</f>
        <v/>
      </c>
      <c r="O569" s="891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IF(OR(TH!L673=TH!$W$7,M569=TH!$W$7),"x","")</f>
        <v/>
      </c>
      <c r="X569" s="51" t="str">
        <f>IF(AND(B569&gt;='IN-NX'!$P$3,B569&lt;='IN-NX'!$Q$3,'IN-NX'!$D$7=D569,OR(LEFT(L569,2)="15",AND(LEFT(M569,2)&lt;&gt;"15",LEFT(M569,2)&lt;&gt;"33"))),"x","")</f>
        <v/>
      </c>
      <c r="Y569" s="51" t="str">
        <f>IF(AND(OR(LEFT(TH!L673,2)="15",LEFT(TH!M673,2)="15"),'152-CT'!$J$8=TH!F673),"x","")</f>
        <v/>
      </c>
      <c r="Z569" s="51" t="str">
        <f>IF(AND(OR(LEFT(TH!L673,2)="15",LEFT(TH!M673,2)="15"),TK!$E$7=TH!F673),"x","")</f>
        <v/>
      </c>
      <c r="AA569" s="51" t="str">
        <f>IF(AND(B569&lt;=NKC!$N$8,B569&gt;=NKC!$M$8),"x","")</f>
        <v/>
      </c>
      <c r="AB569" s="923"/>
      <c r="AC569" s="589"/>
      <c r="AD569" s="589"/>
    </row>
    <row r="570" spans="1:33" s="210" customFormat="1" ht="15.75" hidden="1" customHeight="1">
      <c r="A570" s="203" t="str">
        <f>IF(B570&lt;&gt;"",IF(AND(B570&gt;=_TM1,B570&lt;=_TM2,OR(TH!L570="1111",TH!M570="1111")),TH!D570,""),"")</f>
        <v/>
      </c>
      <c r="B570" s="36" t="str">
        <f t="shared" si="39"/>
        <v/>
      </c>
      <c r="C570" s="183"/>
      <c r="D570" s="190"/>
      <c r="E570" s="190"/>
      <c r="F570" s="191"/>
      <c r="G570" s="191"/>
      <c r="H570" s="192"/>
      <c r="I570" s="255"/>
      <c r="J570" s="255"/>
      <c r="K570" s="37"/>
      <c r="L570" s="193"/>
      <c r="M570" s="193"/>
      <c r="N570" s="51" t="str">
        <f>IF(AND('331-CT'!$E$7=TH!H674,OR(L570="331",M570="331")),"331",IF(AND(OR(L570="131",M570="131"),H570='131-CT'!$E$7),"131",""))</f>
        <v/>
      </c>
      <c r="O570" s="891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IF(OR(TH!L674=TH!$W$7,M570=TH!$W$7),"x","")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IF(AND(OR(LEFT(TH!L674,2)="15",LEFT(TH!M674,2)="15"),'152-CT'!$J$8=TH!F674),"x","")</f>
        <v/>
      </c>
      <c r="Z570" s="51" t="str">
        <f>IF(AND(OR(LEFT(TH!L674,2)="15",LEFT(TH!M674,2)="15"),TK!$E$7=TH!F674),"x","")</f>
        <v/>
      </c>
      <c r="AA570" s="51" t="str">
        <f>IF(AND(B570&lt;=NKC!$N$8,B570&gt;=NKC!$M$8),"x","")</f>
        <v/>
      </c>
      <c r="AB570" s="923"/>
      <c r="AC570" s="589"/>
      <c r="AD570" s="589"/>
    </row>
    <row r="571" spans="1:33" s="210" customFormat="1" ht="15.75" hidden="1" customHeight="1">
      <c r="A571" s="203" t="str">
        <f>IF(B571&lt;&gt;"",IF(AND(B571&gt;=_TM1,B571&lt;=_TM2,OR(TH!L571="1111",TH!M571="1111")),TH!D571,""),"")</f>
        <v/>
      </c>
      <c r="B571" s="36" t="str">
        <f t="shared" si="39"/>
        <v/>
      </c>
      <c r="C571" s="183"/>
      <c r="D571" s="190"/>
      <c r="E571" s="190"/>
      <c r="F571" s="191"/>
      <c r="G571" s="479"/>
      <c r="H571" s="44"/>
      <c r="I571" s="255"/>
      <c r="J571" s="255"/>
      <c r="K571" s="37"/>
      <c r="L571" s="193"/>
      <c r="M571" s="598"/>
      <c r="N571" s="51" t="str">
        <f>IF(AND('331-CT'!$E$7=TH!H332,OR(L571="331",M571="331")),"331",IF(AND(OR(L571="131",M571="131"),H571='131-CT'!$E$7),"131",""))</f>
        <v/>
      </c>
      <c r="O571" s="891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IF(OR(TH!L332=TH!$W$7,M571=TH!$W$7),"x","")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IF(AND(OR(LEFT(TH!L332,2)="15",LEFT(TH!M332,2)="15"),'152-CT'!$J$8=TH!F332),"x","")</f>
        <v/>
      </c>
      <c r="Z571" s="51" t="str">
        <f>IF(AND(OR(LEFT(TH!L332,2)="15",LEFT(TH!M332,2)="15"),TK!$E$7=TH!F332),"x","")</f>
        <v/>
      </c>
      <c r="AA571" s="51" t="str">
        <f>IF(AND(B571&lt;=NKC!$N$8,B571&gt;=NKC!$M$8),"x","")</f>
        <v/>
      </c>
      <c r="AB571" s="923"/>
      <c r="AC571" s="589"/>
      <c r="AD571" s="589"/>
      <c r="AF571" s="589"/>
      <c r="AG571" s="589"/>
    </row>
    <row r="572" spans="1:33" s="210" customFormat="1" ht="15.75" hidden="1" customHeight="1">
      <c r="A572" s="203" t="str">
        <f>IF(B572&lt;&gt;"",IF(AND(B572&gt;=_TM1,B572&lt;=_TM2,OR(TH!L572="1111",TH!M572="1111")),TH!D572,""),"")</f>
        <v/>
      </c>
      <c r="B572" s="36" t="str">
        <f t="shared" si="39"/>
        <v/>
      </c>
      <c r="C572" s="183"/>
      <c r="D572" s="190"/>
      <c r="E572" s="190"/>
      <c r="F572" s="191"/>
      <c r="G572" s="479"/>
      <c r="H572" s="44"/>
      <c r="I572" s="255"/>
      <c r="J572" s="255"/>
      <c r="K572" s="37"/>
      <c r="L572" s="193"/>
      <c r="M572" s="598"/>
      <c r="N572" s="51" t="str">
        <f>IF(AND('331-CT'!$E$7=TH!H333,OR(L572="331",M572="331")),"331",IF(AND(OR(L572="131",M572="131"),H572='131-CT'!$E$7),"131",""))</f>
        <v/>
      </c>
      <c r="O572" s="891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IF(OR(TH!L333=TH!$W$7,M572=TH!$W$7),"x","")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IF(AND(OR(LEFT(TH!L333,2)="15",LEFT(TH!M333,2)="15"),'152-CT'!$J$8=TH!F333),"x","")</f>
        <v/>
      </c>
      <c r="Z572" s="51" t="str">
        <f>IF(AND(OR(LEFT(TH!L333,2)="15",LEFT(TH!M333,2)="15"),TK!$E$7=TH!F333),"x","")</f>
        <v/>
      </c>
      <c r="AA572" s="51" t="str">
        <f>IF(AND(B572&lt;=NKC!$N$8,B572&gt;=NKC!$M$8),"x","")</f>
        <v/>
      </c>
      <c r="AB572" s="923"/>
      <c r="AC572" s="589"/>
      <c r="AD572" s="589"/>
      <c r="AF572" s="589"/>
      <c r="AG572" s="589"/>
    </row>
    <row r="573" spans="1:33" s="210" customFormat="1" ht="15.75" hidden="1" customHeight="1">
      <c r="A573" s="203" t="str">
        <f>IF(B573&lt;&gt;"",IF(AND(B573&gt;=_TM1,B573&lt;=_TM2,OR(TH!L573="1111",TH!M573="1111")),TH!D573,""),"")</f>
        <v/>
      </c>
      <c r="B573" s="36" t="str">
        <f t="shared" si="39"/>
        <v/>
      </c>
      <c r="C573" s="183"/>
      <c r="D573" s="190"/>
      <c r="E573" s="190"/>
      <c r="F573" s="191"/>
      <c r="G573" s="191"/>
      <c r="H573" s="192"/>
      <c r="I573" s="255"/>
      <c r="J573" s="255"/>
      <c r="K573" s="37"/>
      <c r="L573" s="193"/>
      <c r="M573" s="193"/>
      <c r="N573" s="51" t="str">
        <f>IF(AND('331-CT'!$E$7=TH!H675,OR(L573="331",M573="331")),"331",IF(AND(OR(L573="131",M573="131"),H573='131-CT'!$E$7),"131",""))</f>
        <v/>
      </c>
      <c r="O573" s="891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IF(OR(TH!L675=TH!$W$7,M573=TH!$W$7),"x","")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IF(AND(OR(LEFT(TH!L675,2)="15",LEFT(TH!M675,2)="15"),'152-CT'!$J$8=TH!F675),"x","")</f>
        <v/>
      </c>
      <c r="Z573" s="51" t="str">
        <f>IF(AND(OR(LEFT(TH!L675,2)="15",LEFT(TH!M675,2)="15"),TK!$E$7=TH!F675),"x","")</f>
        <v/>
      </c>
      <c r="AA573" s="51" t="str">
        <f>IF(AND(B573&lt;=NKC!$N$8,B573&gt;=NKC!$M$8),"x","")</f>
        <v/>
      </c>
      <c r="AB573" s="923"/>
      <c r="AC573" s="589"/>
      <c r="AD573" s="589"/>
    </row>
    <row r="574" spans="1:33" s="210" customFormat="1" ht="15.75" hidden="1" customHeight="1">
      <c r="A574" s="203" t="str">
        <f>IF(B574&lt;&gt;"",IF(AND(B574&gt;=_TM1,B574&lt;=_TM2,OR(TH!L574="1111",TH!M574="1111")),TH!D574,""),"")</f>
        <v/>
      </c>
      <c r="B574" s="36" t="str">
        <f t="shared" si="39"/>
        <v/>
      </c>
      <c r="C574" s="183"/>
      <c r="D574" s="190"/>
      <c r="E574" s="190"/>
      <c r="F574" s="191"/>
      <c r="G574" s="191"/>
      <c r="H574" s="192"/>
      <c r="I574" s="255"/>
      <c r="J574" s="255"/>
      <c r="K574" s="37"/>
      <c r="L574" s="193"/>
      <c r="M574" s="193"/>
      <c r="N574" s="51" t="str">
        <f>IF(AND('331-CT'!$E$7=TH!H676,OR(L574="331",M574="331")),"331",IF(AND(OR(L574="131",M574="131"),H574='131-CT'!$E$7),"131",""))</f>
        <v/>
      </c>
      <c r="O574" s="891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IF(OR(TH!L676=TH!$W$7,M574=TH!$W$7),"x","")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IF(AND(OR(LEFT(TH!L676,2)="15",LEFT(TH!M676,2)="15"),'152-CT'!$J$8=TH!F676),"x","")</f>
        <v/>
      </c>
      <c r="Z574" s="51" t="str">
        <f>IF(AND(OR(LEFT(TH!L676,2)="15",LEFT(TH!M676,2)="15"),TK!$E$7=TH!F676),"x","")</f>
        <v/>
      </c>
      <c r="AA574" s="51" t="str">
        <f>IF(AND(B574&lt;=NKC!$N$8,B574&gt;=NKC!$M$8),"x","")</f>
        <v/>
      </c>
      <c r="AB574" s="923"/>
      <c r="AC574" s="589"/>
      <c r="AD574" s="589"/>
    </row>
    <row r="575" spans="1:33" s="210" customFormat="1" ht="15.75" hidden="1" customHeight="1">
      <c r="A575" s="203" t="str">
        <f>IF(B575&lt;&gt;"",IF(AND(B575&gt;=_TM1,B575&lt;=_TM2,OR(TH!L575="1111",TH!M575="1111")),TH!D575,""),"")</f>
        <v/>
      </c>
      <c r="B575" s="36" t="str">
        <f t="shared" si="39"/>
        <v/>
      </c>
      <c r="C575" s="183"/>
      <c r="D575" s="190"/>
      <c r="E575" s="190"/>
      <c r="F575" s="191"/>
      <c r="G575" s="191"/>
      <c r="H575" s="192"/>
      <c r="I575" s="255"/>
      <c r="J575" s="255"/>
      <c r="K575" s="37"/>
      <c r="L575" s="193"/>
      <c r="M575" s="193"/>
      <c r="N575" s="51" t="str">
        <f>IF(AND('331-CT'!$E$7=TH!H677,OR(L575="331",M575="331")),"331",IF(AND(OR(L575="131",M575="131"),H575='131-CT'!$E$7),"131",""))</f>
        <v/>
      </c>
      <c r="O575" s="891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IF(OR(TH!L677=TH!$W$7,M575=TH!$W$7),"x","")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IF(AND(OR(LEFT(TH!L677,2)="15",LEFT(TH!M677,2)="15"),'152-CT'!$J$8=TH!F677),"x","")</f>
        <v/>
      </c>
      <c r="Z575" s="51" t="str">
        <f>IF(AND(OR(LEFT(TH!L677,2)="15",LEFT(TH!M677,2)="15"),TK!$E$7=TH!F677),"x","")</f>
        <v/>
      </c>
      <c r="AA575" s="51" t="str">
        <f>IF(AND(B575&lt;=NKC!$N$8,B575&gt;=NKC!$M$8),"x","")</f>
        <v/>
      </c>
      <c r="AB575" s="923"/>
      <c r="AC575" s="589"/>
      <c r="AD575" s="589"/>
    </row>
    <row r="576" spans="1:33" s="210" customFormat="1" ht="15.75" hidden="1" customHeight="1">
      <c r="A576" s="203" t="str">
        <f>IF(B576&lt;&gt;"",IF(AND(B576&gt;=_TM1,B576&lt;=_TM2,OR(TH!L576="1111",TH!M576="1111")),TH!D576,""),"")</f>
        <v/>
      </c>
      <c r="B576" s="36" t="str">
        <f t="shared" si="39"/>
        <v/>
      </c>
      <c r="C576" s="183"/>
      <c r="D576" s="190"/>
      <c r="E576" s="190"/>
      <c r="F576" s="191"/>
      <c r="G576" s="191"/>
      <c r="H576" s="192"/>
      <c r="I576" s="255"/>
      <c r="J576" s="255"/>
      <c r="K576" s="37"/>
      <c r="L576" s="193"/>
      <c r="M576" s="193"/>
      <c r="N576" s="51" t="str">
        <f>IF(AND('331-CT'!$E$7=TH!H678,OR(L576="331",M576="331")),"331",IF(AND(OR(L576="131",M576="131"),H576='131-CT'!$E$7),"131",""))</f>
        <v/>
      </c>
      <c r="O576" s="891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IF(OR(TH!L678=TH!$W$7,M576=TH!$W$7),"x","")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IF(AND(OR(LEFT(TH!L678,2)="15",LEFT(TH!M678,2)="15"),'152-CT'!$J$8=TH!F678),"x","")</f>
        <v/>
      </c>
      <c r="Z576" s="51" t="str">
        <f>IF(AND(OR(LEFT(TH!L678,2)="15",LEFT(TH!M678,2)="15"),TK!$E$7=TH!F678),"x","")</f>
        <v/>
      </c>
      <c r="AA576" s="51" t="str">
        <f>IF(AND(B576&lt;=NKC!$N$8,B576&gt;=NKC!$M$8),"x","")</f>
        <v/>
      </c>
      <c r="AB576" s="923"/>
      <c r="AC576" s="589"/>
      <c r="AD576" s="589"/>
    </row>
    <row r="577" spans="1:33" s="210" customFormat="1" ht="15.75" hidden="1" customHeight="1">
      <c r="A577" s="203" t="str">
        <f>IF(B577&lt;&gt;"",IF(AND(B577&gt;=_TM1,B577&lt;=_TM2,OR(TH!L577="1111",TH!M577="1111")),TH!D577,""),"")</f>
        <v/>
      </c>
      <c r="B577" s="36" t="str">
        <f t="shared" si="39"/>
        <v/>
      </c>
      <c r="C577" s="183"/>
      <c r="D577" s="190"/>
      <c r="E577" s="190"/>
      <c r="F577" s="191"/>
      <c r="G577" s="191"/>
      <c r="H577" s="192"/>
      <c r="I577" s="255"/>
      <c r="J577" s="255"/>
      <c r="K577" s="37"/>
      <c r="L577" s="193"/>
      <c r="M577" s="193"/>
      <c r="N577" s="51" t="str">
        <f>IF(AND('331-CT'!$E$7=TH!H679,OR(L577="331",M577="331")),"331",IF(AND(OR(L577="131",M577="131"),H577='131-CT'!$E$7),"131",""))</f>
        <v/>
      </c>
      <c r="O577" s="891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IF(OR(TH!L679=TH!$W$7,M577=TH!$W$7),"x","")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IF(AND(OR(LEFT(TH!L679,2)="15",LEFT(TH!M679,2)="15"),'152-CT'!$J$8=TH!F679),"x","")</f>
        <v/>
      </c>
      <c r="Z577" s="51" t="str">
        <f>IF(AND(OR(LEFT(TH!L679,2)="15",LEFT(TH!M679,2)="15"),TK!$E$7=TH!F679),"x","")</f>
        <v/>
      </c>
      <c r="AA577" s="51" t="str">
        <f>IF(AND(B577&lt;=NKC!$N$8,B577&gt;=NKC!$M$8),"x","")</f>
        <v/>
      </c>
      <c r="AB577" s="923"/>
      <c r="AC577" s="589"/>
      <c r="AD577" s="589"/>
    </row>
    <row r="578" spans="1:33" s="210" customFormat="1" ht="15.75" hidden="1" customHeight="1">
      <c r="A578" s="203" t="str">
        <f>IF(B578&lt;&gt;"",IF(AND(B578&gt;=_TM1,B578&lt;=_TM2,OR(TH!L578="1111",TH!M578="1111")),TH!D578,""),"")</f>
        <v/>
      </c>
      <c r="B578" s="36" t="str">
        <f t="shared" si="39"/>
        <v/>
      </c>
      <c r="C578" s="183"/>
      <c r="D578" s="190"/>
      <c r="E578" s="190"/>
      <c r="F578" s="191"/>
      <c r="G578" s="191"/>
      <c r="H578" s="192"/>
      <c r="I578" s="255"/>
      <c r="J578" s="255"/>
      <c r="K578" s="37"/>
      <c r="L578" s="193"/>
      <c r="M578" s="193"/>
      <c r="N578" s="51" t="str">
        <f>IF(AND('331-CT'!$E$7=TH!H680,OR(L578="331",M578="331")),"331",IF(AND(OR(L578="131",M578="131"),H578='131-CT'!$E$7),"131",""))</f>
        <v/>
      </c>
      <c r="O578" s="891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IF(OR(TH!L680=TH!$W$7,M578=TH!$W$7),"x","")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IF(AND(OR(LEFT(TH!L680,2)="15",LEFT(TH!M680,2)="15"),'152-CT'!$J$8=TH!F680),"x","")</f>
        <v/>
      </c>
      <c r="Z578" s="51" t="str">
        <f>IF(AND(OR(LEFT(TH!L680,2)="15",LEFT(TH!M680,2)="15"),TK!$E$7=TH!F680),"x","")</f>
        <v/>
      </c>
      <c r="AA578" s="51" t="str">
        <f>IF(AND(B578&lt;=NKC!$N$8,B578&gt;=NKC!$M$8),"x","")</f>
        <v/>
      </c>
      <c r="AB578" s="923"/>
      <c r="AC578" s="589"/>
      <c r="AD578" s="589"/>
      <c r="AE578" s="589"/>
    </row>
    <row r="579" spans="1:33" s="210" customFormat="1" ht="15.75" hidden="1" customHeight="1">
      <c r="A579" s="203" t="str">
        <f>IF(B579&lt;&gt;"",IF(AND(B579&gt;=_TM1,B579&lt;=_TM2,OR(TH!L579="1111",TH!M579="1111")),TH!D579,""),"")</f>
        <v/>
      </c>
      <c r="B579" s="36" t="str">
        <f t="shared" si="39"/>
        <v/>
      </c>
      <c r="C579" s="183"/>
      <c r="D579" s="190"/>
      <c r="E579" s="190"/>
      <c r="F579" s="191"/>
      <c r="G579" s="191"/>
      <c r="H579" s="192"/>
      <c r="I579" s="255"/>
      <c r="J579" s="255"/>
      <c r="K579" s="37"/>
      <c r="L579" s="193"/>
      <c r="M579" s="193"/>
      <c r="N579" s="51" t="str">
        <f>IF(AND('331-CT'!$E$7=TH!H681,OR(L579="331",M579="331")),"331",IF(AND(OR(L579="131",M579="131"),H579='131-CT'!$E$7),"131",""))</f>
        <v/>
      </c>
      <c r="O579" s="891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IF(OR(TH!L681=TH!$W$7,M579=TH!$W$7),"x","")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IF(AND(OR(LEFT(TH!L681,2)="15",LEFT(TH!M681,2)="15"),'152-CT'!$J$8=TH!F681),"x","")</f>
        <v/>
      </c>
      <c r="Z579" s="51" t="str">
        <f>IF(AND(OR(LEFT(TH!L681,2)="15",LEFT(TH!M681,2)="15"),TK!$E$7=TH!F681),"x","")</f>
        <v/>
      </c>
      <c r="AA579" s="51" t="str">
        <f>IF(AND(B579&lt;=NKC!$N$8,B579&gt;=NKC!$M$8),"x","")</f>
        <v/>
      </c>
      <c r="AB579" s="923"/>
      <c r="AC579" s="589"/>
      <c r="AD579" s="589"/>
    </row>
    <row r="580" spans="1:33" s="210" customFormat="1" ht="15.75" hidden="1" customHeight="1">
      <c r="A580" s="203" t="str">
        <f>IF(B580&lt;&gt;"",IF(AND(B580&gt;=_TM1,B580&lt;=_TM2,OR(TH!L580="1111",TH!M580="1111")),TH!D580,""),"")</f>
        <v/>
      </c>
      <c r="B580" s="36" t="str">
        <f t="shared" si="39"/>
        <v/>
      </c>
      <c r="C580" s="183"/>
      <c r="D580" s="190"/>
      <c r="E580" s="771"/>
      <c r="F580" s="188"/>
      <c r="G580" s="191"/>
      <c r="H580" s="192"/>
      <c r="I580" s="255"/>
      <c r="J580" s="255"/>
      <c r="K580" s="37"/>
      <c r="L580" s="193"/>
      <c r="M580" s="193"/>
      <c r="N580" s="51" t="str">
        <f>IF(AND('331-CT'!$E$7=TH!H682,OR(L580="331",M580="331")),"331",IF(AND(OR(L580="131",M580="131"),H580='131-CT'!$E$7),"131",""))</f>
        <v/>
      </c>
      <c r="O580" s="891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IF(OR(TH!L682=TH!$W$7,M580=TH!$W$7),"x","")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IF(AND(OR(LEFT(TH!L682,2)="15",LEFT(TH!M682,2)="15"),'152-CT'!$J$8=TH!F682),"x","")</f>
        <v/>
      </c>
      <c r="Z580" s="51" t="str">
        <f>IF(AND(OR(LEFT(TH!L682,2)="15",LEFT(TH!M682,2)="15"),TK!$E$7=TH!F682),"x","")</f>
        <v/>
      </c>
      <c r="AA580" s="51" t="str">
        <f>IF(AND(B580&lt;=NKC!$N$8,B580&gt;=NKC!$M$8),"x","")</f>
        <v/>
      </c>
      <c r="AB580" s="923"/>
      <c r="AC580" s="589"/>
    </row>
    <row r="581" spans="1:33" s="210" customFormat="1" ht="15.75" hidden="1" customHeight="1">
      <c r="A581" s="203" t="str">
        <f>IF(B581&lt;&gt;"",IF(AND(B581&gt;=_TM1,B581&lt;=_TM2,OR(TH!L581="1111",TH!M581="1111")),TH!D581,""),"")</f>
        <v/>
      </c>
      <c r="B581" s="36" t="str">
        <f t="shared" ref="B581:B644" si="40">IF(C581&lt;&gt;"",MONTH(C581),"")</f>
        <v/>
      </c>
      <c r="C581" s="183"/>
      <c r="D581" s="190"/>
      <c r="E581" s="190"/>
      <c r="F581" s="188"/>
      <c r="G581" s="191"/>
      <c r="H581" s="209"/>
      <c r="I581" s="255"/>
      <c r="J581" s="255"/>
      <c r="K581" s="37"/>
      <c r="L581" s="193"/>
      <c r="M581" s="193"/>
      <c r="N581" s="51" t="str">
        <f>IF(AND('331-CT'!$E$7=TH!H683,OR(L581="331",M581="331")),"331",IF(AND(OR(L581="131",M581="131"),H581='131-CT'!$E$7),"131",""))</f>
        <v/>
      </c>
      <c r="O581" s="891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IF(OR(TH!L683=TH!$W$7,M581=TH!$W$7),"x","")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IF(AND(OR(LEFT(TH!L683,2)="15",LEFT(TH!M683,2)="15"),'152-CT'!$J$8=TH!F683),"x","")</f>
        <v/>
      </c>
      <c r="Z581" s="51" t="str">
        <f>IF(AND(OR(LEFT(TH!L683,2)="15",LEFT(TH!M683,2)="15"),TK!$E$7=TH!F683),"x","")</f>
        <v/>
      </c>
      <c r="AA581" s="51" t="str">
        <f>IF(AND(B581&lt;=NKC!$N$8,B581&gt;=NKC!$M$8),"x","")</f>
        <v/>
      </c>
      <c r="AB581" s="923"/>
      <c r="AC581" s="589"/>
      <c r="AD581" s="589"/>
    </row>
    <row r="582" spans="1:33" s="210" customFormat="1" ht="15.75" hidden="1" customHeight="1">
      <c r="A582" s="203" t="str">
        <f>IF(B582&lt;&gt;"",IF(AND(B582&gt;=_TM1,B582&lt;=_TM2,OR(TH!L582="1111",TH!M582="1111")),TH!D582,""),"")</f>
        <v/>
      </c>
      <c r="B582" s="36" t="str">
        <f t="shared" si="40"/>
        <v/>
      </c>
      <c r="C582" s="183"/>
      <c r="D582" s="190"/>
      <c r="E582" s="190"/>
      <c r="F582" s="188"/>
      <c r="G582" s="191"/>
      <c r="H582" s="209"/>
      <c r="I582" s="256"/>
      <c r="J582" s="256"/>
      <c r="K582" s="37"/>
      <c r="L582" s="193"/>
      <c r="M582" s="193"/>
      <c r="N582" s="51" t="str">
        <f>IF(AND('331-CT'!$E$7=TH!H684,OR(L582="331",M582="331")),"331",IF(AND(OR(L582="131",M582="131"),H582='131-CT'!$E$7),"131",""))</f>
        <v/>
      </c>
      <c r="O582" s="891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IF(OR(TH!L684=TH!$W$7,M582=TH!$W$7),"x","")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IF(AND(OR(LEFT(TH!L684,2)="15",LEFT(TH!M684,2)="15"),'152-CT'!$J$8=TH!F684),"x","")</f>
        <v/>
      </c>
      <c r="Z582" s="51" t="str">
        <f>IF(AND(OR(LEFT(TH!L684,2)="15",LEFT(TH!M684,2)="15"),TK!$E$7=TH!F684),"x","")</f>
        <v/>
      </c>
      <c r="AA582" s="51" t="str">
        <f>IF(AND(B582&lt;=NKC!$N$8,B582&gt;=NKC!$M$8),"x","")</f>
        <v/>
      </c>
      <c r="AB582" s="923"/>
      <c r="AC582" s="589"/>
    </row>
    <row r="583" spans="1:33" s="210" customFormat="1" ht="15.75" hidden="1" customHeight="1">
      <c r="A583" s="203" t="str">
        <f>IF(B583&lt;&gt;"",IF(AND(B583&gt;=_TM1,B583&lt;=_TM2,OR(TH!L583="1111",TH!M583="1111")),TH!D583,""),"")</f>
        <v/>
      </c>
      <c r="B583" s="36" t="str">
        <f t="shared" si="40"/>
        <v/>
      </c>
      <c r="C583" s="183"/>
      <c r="D583" s="190"/>
      <c r="E583" s="190"/>
      <c r="F583" s="908"/>
      <c r="G583" s="191"/>
      <c r="H583" s="209"/>
      <c r="I583" s="256"/>
      <c r="J583" s="256"/>
      <c r="K583" s="37"/>
      <c r="L583" s="193"/>
      <c r="M583" s="193"/>
      <c r="N583" s="51" t="str">
        <f>IF(AND('331-CT'!$E$7=TH!H685,OR(L583="331",M583="331")),"331",IF(AND(OR(L583="131",M583="131"),H583='131-CT'!$E$7),"131",""))</f>
        <v/>
      </c>
      <c r="O583" s="891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IF(OR(TH!L685=TH!$W$7,M583=TH!$W$7),"x","")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IF(AND(OR(LEFT(TH!L685,2)="15",LEFT(TH!M685,2)="15"),'152-CT'!$J$8=TH!F685),"x","")</f>
        <v/>
      </c>
      <c r="Z583" s="51" t="str">
        <f>IF(AND(OR(LEFT(TH!L685,2)="15",LEFT(TH!M685,2)="15"),TK!$E$7=TH!F685),"x","")</f>
        <v/>
      </c>
      <c r="AA583" s="51" t="str">
        <f>IF(AND(B583&lt;=NKC!$N$8,B583&gt;=NKC!$M$8),"x","")</f>
        <v/>
      </c>
      <c r="AB583" s="923"/>
      <c r="AC583" s="589"/>
      <c r="AD583" s="589"/>
    </row>
    <row r="584" spans="1:33" s="210" customFormat="1" ht="15.75" hidden="1" customHeight="1">
      <c r="A584" s="203" t="str">
        <f>IF(B584&lt;&gt;"",IF(AND(B584&gt;=_TM1,B584&lt;=_TM2,OR(TH!L584="1111",TH!M584="1111")),TH!D584,""),"")</f>
        <v/>
      </c>
      <c r="B584" s="36" t="str">
        <f t="shared" si="40"/>
        <v/>
      </c>
      <c r="C584" s="183"/>
      <c r="D584" s="190"/>
      <c r="E584" s="190"/>
      <c r="F584" s="191"/>
      <c r="G584" s="479"/>
      <c r="H584" s="44"/>
      <c r="I584" s="255"/>
      <c r="J584" s="255"/>
      <c r="K584" s="37"/>
      <c r="L584" s="193"/>
      <c r="M584" s="598"/>
      <c r="N584" s="51" t="str">
        <f>IF(AND('331-CT'!$E$7=TH!H334,OR(L584="331",M584="331")),"331",IF(AND(OR(L584="131",M584="131"),H584='131-CT'!$E$7),"131",""))</f>
        <v/>
      </c>
      <c r="O584" s="891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IF(OR(TH!L334=TH!$W$7,M584=TH!$W$7),"x","")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IF(AND(OR(LEFT(TH!L334,2)="15",LEFT(TH!M334,2)="15"),'152-CT'!$J$8=TH!F334),"x","")</f>
        <v/>
      </c>
      <c r="Z584" s="51" t="str">
        <f>IF(AND(OR(LEFT(TH!L334,2)="15",LEFT(TH!M334,2)="15"),TK!$E$7=TH!F334),"x","")</f>
        <v/>
      </c>
      <c r="AA584" s="51" t="str">
        <f>IF(AND(B584&lt;=NKC!$N$8,B584&gt;=NKC!$M$8),"x","")</f>
        <v/>
      </c>
      <c r="AB584" s="923"/>
      <c r="AC584" s="589"/>
      <c r="AD584" s="589"/>
      <c r="AF584" s="589"/>
      <c r="AG584" s="589"/>
    </row>
    <row r="585" spans="1:33" s="210" customFormat="1" ht="15.75" hidden="1" customHeight="1">
      <c r="A585" s="203" t="str">
        <f>IF(B585&lt;&gt;"",IF(AND(B585&gt;=_TM1,B585&lt;=_TM2,OR(TH!L585="1111",TH!M585="1111")),TH!D585,""),"")</f>
        <v/>
      </c>
      <c r="B585" s="36" t="str">
        <f t="shared" si="40"/>
        <v/>
      </c>
      <c r="C585" s="183"/>
      <c r="D585" s="190"/>
      <c r="E585" s="190"/>
      <c r="F585" s="191"/>
      <c r="G585" s="479"/>
      <c r="H585" s="44"/>
      <c r="I585" s="255"/>
      <c r="J585" s="255"/>
      <c r="K585" s="37"/>
      <c r="L585" s="193"/>
      <c r="M585" s="598"/>
      <c r="N585" s="51" t="str">
        <f>IF(AND('331-CT'!$E$7=TH!H335,OR(L585="331",M585="331")),"331",IF(AND(OR(L585="131",M585="131"),H585='131-CT'!$E$7),"131",""))</f>
        <v/>
      </c>
      <c r="O585" s="891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IF(OR(TH!L335=TH!$W$7,M585=TH!$W$7),"x","")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IF(AND(OR(LEFT(TH!L335,2)="15",LEFT(TH!M335,2)="15"),'152-CT'!$J$8=TH!F335),"x","")</f>
        <v/>
      </c>
      <c r="Z585" s="51" t="str">
        <f>IF(AND(OR(LEFT(TH!L335,2)="15",LEFT(TH!M335,2)="15"),TK!$E$7=TH!F335),"x","")</f>
        <v/>
      </c>
      <c r="AA585" s="51" t="str">
        <f>IF(AND(B585&lt;=NKC!$N$8,B585&gt;=NKC!$M$8),"x","")</f>
        <v/>
      </c>
      <c r="AB585" s="923"/>
      <c r="AC585" s="589"/>
      <c r="AD585" s="589"/>
      <c r="AF585" s="589"/>
      <c r="AG585" s="589"/>
    </row>
    <row r="586" spans="1:33" s="210" customFormat="1" ht="15.75" hidden="1" customHeight="1">
      <c r="A586" s="203" t="str">
        <f>IF(B586&lt;&gt;"",IF(AND(B586&gt;=_TM1,B586&lt;=_TM2,OR(TH!L586="1111",TH!M586="1111")),TH!D586,""),"")</f>
        <v/>
      </c>
      <c r="B586" s="36" t="str">
        <f t="shared" si="40"/>
        <v/>
      </c>
      <c r="C586" s="183"/>
      <c r="D586" s="190"/>
      <c r="E586" s="190"/>
      <c r="F586" s="191"/>
      <c r="G586" s="191"/>
      <c r="H586" s="209"/>
      <c r="I586" s="256"/>
      <c r="J586" s="256"/>
      <c r="K586" s="37"/>
      <c r="L586" s="193"/>
      <c r="M586" s="193"/>
      <c r="N586" s="51" t="str">
        <f>IF(AND('331-CT'!$E$7=TH!H686,OR(L586="331",M586="331")),"331",IF(AND(OR(L586="131",M586="131"),H586='131-CT'!$E$7),"131",""))</f>
        <v/>
      </c>
      <c r="O586" s="891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IF(OR(TH!L686=TH!$W$7,M586=TH!$W$7),"x","")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IF(AND(OR(LEFT(TH!L686,2)="15",LEFT(TH!M686,2)="15"),'152-CT'!$J$8=TH!F686),"x","")</f>
        <v/>
      </c>
      <c r="Z586" s="51" t="str">
        <f>IF(AND(OR(LEFT(TH!L686,2)="15",LEFT(TH!M686,2)="15"),TK!$E$7=TH!F686),"x","")</f>
        <v/>
      </c>
      <c r="AA586" s="51" t="str">
        <f>IF(AND(B586&lt;=NKC!$N$8,B586&gt;=NKC!$M$8),"x","")</f>
        <v/>
      </c>
      <c r="AB586" s="923"/>
      <c r="AC586" s="589"/>
      <c r="AD586" s="589"/>
    </row>
    <row r="587" spans="1:33" s="210" customFormat="1" ht="15.75" hidden="1" customHeight="1">
      <c r="A587" s="203" t="str">
        <f>IF(B587&lt;&gt;"",IF(AND(B587&gt;=_TM1,B587&lt;=_TM2,OR(TH!L587="1111",TH!M587="1111")),TH!D587,""),"")</f>
        <v/>
      </c>
      <c r="B587" s="36" t="str">
        <f t="shared" si="40"/>
        <v/>
      </c>
      <c r="C587" s="183"/>
      <c r="D587" s="190"/>
      <c r="E587" s="190"/>
      <c r="F587" s="908"/>
      <c r="G587" s="191"/>
      <c r="H587" s="209"/>
      <c r="I587" s="255"/>
      <c r="J587" s="255"/>
      <c r="K587" s="37"/>
      <c r="L587" s="193"/>
      <c r="M587" s="193"/>
      <c r="N587" s="51" t="str">
        <f>IF(AND('331-CT'!$E$7=TH!H687,OR(L587="331",M587="331")),"331",IF(AND(OR(L587="131",M587="131"),H587='131-CT'!$E$7),"131",""))</f>
        <v/>
      </c>
      <c r="O587" s="891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IF(OR(TH!L687=TH!$W$7,M587=TH!$W$7),"x","")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IF(AND(OR(LEFT(TH!L687,2)="15",LEFT(TH!M687,2)="15"),'152-CT'!$J$8=TH!F687),"x","")</f>
        <v/>
      </c>
      <c r="Z587" s="51" t="str">
        <f>IF(AND(OR(LEFT(TH!L687,2)="15",LEFT(TH!M687,2)="15"),TK!$E$7=TH!F687),"x","")</f>
        <v/>
      </c>
      <c r="AA587" s="51" t="str">
        <f>IF(AND(B587&lt;=NKC!$N$8,B587&gt;=NKC!$M$8),"x","")</f>
        <v/>
      </c>
      <c r="AB587" s="923"/>
      <c r="AC587" s="589"/>
    </row>
    <row r="588" spans="1:33" s="210" customFormat="1" ht="15.75" hidden="1" customHeight="1">
      <c r="A588" s="203" t="str">
        <f>IF(B588&lt;&gt;"",IF(AND(B588&gt;=_TM1,B588&lt;=_TM2,OR(TH!L588="1111",TH!M588="1111")),TH!D588,""),"")</f>
        <v/>
      </c>
      <c r="B588" s="36" t="str">
        <f t="shared" si="40"/>
        <v/>
      </c>
      <c r="C588" s="183"/>
      <c r="D588" s="190"/>
      <c r="E588" s="190"/>
      <c r="F588" s="191"/>
      <c r="G588" s="191"/>
      <c r="H588" s="192"/>
      <c r="I588" s="255"/>
      <c r="J588" s="255"/>
      <c r="K588" s="37"/>
      <c r="L588" s="193"/>
      <c r="M588" s="193"/>
      <c r="N588" s="51" t="e">
        <f>IF(AND('331-CT'!$E$7=TH!#REF!,OR(L588="331",M588="331")),"331",IF(AND(OR(L588="131",M588="131"),H588='131-CT'!$E$7),"131",""))</f>
        <v>#REF!</v>
      </c>
      <c r="O588" s="891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e">
        <f>IF(OR(TH!#REF!=TH!$W$7,M588=TH!$W$7),"x","")</f>
        <v>#REF!</v>
      </c>
      <c r="X588" s="51" t="str">
        <f>IF(AND(B588&gt;='IN-NX'!$P$3,B588&lt;='IN-NX'!$Q$3,'IN-NX'!$D$7=D588,OR(LEFT(L588,2)="15",AND(LEFT(M588,2)&lt;&gt;"15",LEFT(M588,2)&lt;&gt;"33"))),"x","")</f>
        <v/>
      </c>
      <c r="Y588" s="51" t="e">
        <f>IF(AND(OR(LEFT(TH!#REF!,2)="15",LEFT(TH!#REF!,2)="15"),'152-CT'!$J$8=TH!#REF!),"x","")</f>
        <v>#REF!</v>
      </c>
      <c r="Z588" s="51" t="e">
        <f>IF(AND(OR(LEFT(TH!#REF!,2)="15",LEFT(TH!#REF!,2)="15"),TK!$E$7=TH!#REF!),"x","")</f>
        <v>#REF!</v>
      </c>
      <c r="AA588" s="51" t="str">
        <f>IF(AND(B588&lt;=NKC!$N$8,B588&gt;=NKC!$M$8),"x","")</f>
        <v/>
      </c>
      <c r="AB588" s="923"/>
      <c r="AC588" s="589"/>
      <c r="AD588" s="589"/>
    </row>
    <row r="589" spans="1:33" s="210" customFormat="1" ht="15.75" hidden="1" customHeight="1">
      <c r="A589" s="203" t="str">
        <f>IF(B589&lt;&gt;"",IF(AND(B589&gt;=_TM1,B589&lt;=_TM2,OR(TH!L589="1111",TH!M589="1111")),TH!D589,""),"")</f>
        <v/>
      </c>
      <c r="B589" s="36" t="str">
        <f t="shared" si="40"/>
        <v/>
      </c>
      <c r="C589" s="183"/>
      <c r="D589" s="190"/>
      <c r="E589" s="190"/>
      <c r="F589" s="191"/>
      <c r="G589" s="191"/>
      <c r="H589" s="192"/>
      <c r="I589" s="255"/>
      <c r="J589" s="255"/>
      <c r="K589" s="37"/>
      <c r="L589" s="193"/>
      <c r="M589" s="193"/>
      <c r="N589" s="51" t="e">
        <f>IF(AND('331-CT'!$E$7=TH!#REF!,OR(L589="331",M589="331")),"331",IF(AND(OR(L589="131",M589="131"),H589='131-CT'!$E$7),"131",""))</f>
        <v>#REF!</v>
      </c>
      <c r="O589" s="891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e">
        <f>IF(OR(TH!#REF!=TH!$W$7,M589=TH!$W$7),"x","")</f>
        <v>#REF!</v>
      </c>
      <c r="X589" s="51" t="str">
        <f>IF(AND(B589&gt;='IN-NX'!$P$3,B589&lt;='IN-NX'!$Q$3,'IN-NX'!$D$7=D589,OR(LEFT(L589,2)="15",AND(LEFT(M589,2)&lt;&gt;"15",LEFT(M589,2)&lt;&gt;"33"))),"x","")</f>
        <v/>
      </c>
      <c r="Y589" s="51" t="e">
        <f>IF(AND(OR(LEFT(TH!#REF!,2)="15",LEFT(TH!#REF!,2)="15"),'152-CT'!$J$8=TH!#REF!),"x","")</f>
        <v>#REF!</v>
      </c>
      <c r="Z589" s="51" t="e">
        <f>IF(AND(OR(LEFT(TH!#REF!,2)="15",LEFT(TH!#REF!,2)="15"),TK!$E$7=TH!#REF!),"x","")</f>
        <v>#REF!</v>
      </c>
      <c r="AA589" s="51" t="str">
        <f>IF(AND(B589&lt;=NKC!$N$8,B589&gt;=NKC!$M$8),"x","")</f>
        <v/>
      </c>
      <c r="AB589" s="923"/>
      <c r="AC589" s="589"/>
    </row>
    <row r="590" spans="1:33" s="210" customFormat="1" ht="15.75" hidden="1" customHeight="1">
      <c r="A590" s="203" t="str">
        <f>IF(B590&lt;&gt;"",IF(AND(B590&gt;=_TM1,B590&lt;=_TM2,OR(TH!L590="1111",TH!M590="1111")),TH!D590,""),"")</f>
        <v/>
      </c>
      <c r="B590" s="36" t="str">
        <f t="shared" si="40"/>
        <v/>
      </c>
      <c r="C590" s="183"/>
      <c r="D590" s="190"/>
      <c r="E590" s="190"/>
      <c r="F590" s="191"/>
      <c r="G590" s="191"/>
      <c r="H590" s="192"/>
      <c r="I590" s="255"/>
      <c r="J590" s="255"/>
      <c r="K590" s="37"/>
      <c r="L590" s="193"/>
      <c r="M590" s="193"/>
      <c r="N590" s="51" t="str">
        <f>IF(AND('331-CT'!$E$7=TH!H688,OR(L590="331",M590="331")),"331",IF(AND(OR(L590="131",M590="131"),H590='131-CT'!$E$7),"131",""))</f>
        <v/>
      </c>
      <c r="O590" s="891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IF(OR(TH!L688=TH!$W$7,M590=TH!$W$7),"x","")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IF(AND(OR(LEFT(TH!L688,2)="15",LEFT(TH!M688,2)="15"),'152-CT'!$J$8=TH!F688),"x","")</f>
        <v/>
      </c>
      <c r="Z590" s="51" t="str">
        <f>IF(AND(OR(LEFT(TH!L688,2)="15",LEFT(TH!M688,2)="15"),TK!$E$7=TH!F688),"x","")</f>
        <v/>
      </c>
      <c r="AA590" s="51" t="str">
        <f>IF(AND(B590&lt;=NKC!$N$8,B590&gt;=NKC!$M$8),"x","")</f>
        <v/>
      </c>
      <c r="AB590" s="923"/>
      <c r="AC590" s="589"/>
      <c r="AD590" s="589"/>
    </row>
    <row r="591" spans="1:33" s="210" customFormat="1" ht="15.75" hidden="1" customHeight="1">
      <c r="A591" s="203" t="str">
        <f>IF(B591&lt;&gt;"",IF(AND(B591&gt;=_TM1,B591&lt;=_TM2,OR(TH!L591="1111",TH!M591="1111")),TH!D591,""),"")</f>
        <v/>
      </c>
      <c r="B591" s="36" t="str">
        <f t="shared" si="40"/>
        <v/>
      </c>
      <c r="C591" s="183"/>
      <c r="D591" s="190"/>
      <c r="E591" s="190"/>
      <c r="F591" s="191"/>
      <c r="G591" s="191"/>
      <c r="H591" s="192"/>
      <c r="I591" s="255"/>
      <c r="J591" s="255"/>
      <c r="K591" s="37"/>
      <c r="L591" s="193"/>
      <c r="M591" s="193"/>
      <c r="N591" s="51" t="e">
        <f>IF(AND('331-CT'!$E$7=TH!#REF!,OR(L591="331",M591="331")),"331",IF(AND(OR(L591="131",M591="131"),H591='131-CT'!$E$7),"131",""))</f>
        <v>#REF!</v>
      </c>
      <c r="O591" s="891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e">
        <f>IF(OR(TH!#REF!=TH!$W$7,M591=TH!$W$7),"x","")</f>
        <v>#REF!</v>
      </c>
      <c r="X591" s="51" t="str">
        <f>IF(AND(B591&gt;='IN-NX'!$P$3,B591&lt;='IN-NX'!$Q$3,'IN-NX'!$D$7=D591,OR(LEFT(L591,2)="15",AND(LEFT(M591,2)&lt;&gt;"15",LEFT(M591,2)&lt;&gt;"33"))),"x","")</f>
        <v/>
      </c>
      <c r="Y591" s="51" t="e">
        <f>IF(AND(OR(LEFT(TH!#REF!,2)="15",LEFT(TH!#REF!,2)="15"),'152-CT'!$J$8=TH!#REF!),"x","")</f>
        <v>#REF!</v>
      </c>
      <c r="Z591" s="51" t="e">
        <f>IF(AND(OR(LEFT(TH!#REF!,2)="15",LEFT(TH!#REF!,2)="15"),TK!$E$7=TH!#REF!),"x","")</f>
        <v>#REF!</v>
      </c>
      <c r="AA591" s="51" t="str">
        <f>IF(AND(B591&lt;=NKC!$N$8,B591&gt;=NKC!$M$8),"x","")</f>
        <v/>
      </c>
      <c r="AB591" s="923"/>
      <c r="AC591" s="589"/>
    </row>
    <row r="592" spans="1:33" s="210" customFormat="1" ht="15.75" hidden="1" customHeight="1">
      <c r="A592" s="203" t="str">
        <f>IF(B592&lt;&gt;"",IF(AND(B592&gt;=_TM1,B592&lt;=_TM2,OR(TH!L592="1111",TH!M592="1111")),TH!D592,""),"")</f>
        <v/>
      </c>
      <c r="B592" s="36" t="str">
        <f t="shared" si="40"/>
        <v/>
      </c>
      <c r="C592" s="183"/>
      <c r="D592" s="190"/>
      <c r="E592" s="190"/>
      <c r="F592" s="191"/>
      <c r="G592" s="191"/>
      <c r="H592" s="209"/>
      <c r="I592" s="255"/>
      <c r="J592" s="255"/>
      <c r="K592" s="37"/>
      <c r="L592" s="193"/>
      <c r="M592" s="193"/>
      <c r="N592" s="51" t="e">
        <f>IF(AND('331-CT'!$E$7=TH!#REF!,OR(L592="331",M592="331")),"331",IF(AND(OR(L592="131",M592="131"),H592='131-CT'!$E$7),"131",""))</f>
        <v>#REF!</v>
      </c>
      <c r="O592" s="891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e">
        <f>IF(OR(TH!#REF!=TH!$W$7,M592=TH!$W$7),"x","")</f>
        <v>#REF!</v>
      </c>
      <c r="X592" s="51" t="str">
        <f>IF(AND(B592&gt;='IN-NX'!$P$3,B592&lt;='IN-NX'!$Q$3,'IN-NX'!$D$7=D592,OR(LEFT(L592,2)="15",AND(LEFT(M592,2)&lt;&gt;"15",LEFT(M592,2)&lt;&gt;"33"))),"x","")</f>
        <v/>
      </c>
      <c r="Y592" s="51" t="e">
        <f>IF(AND(OR(LEFT(TH!#REF!,2)="15",LEFT(TH!#REF!,2)="15"),'152-CT'!$J$8=TH!#REF!),"x","")</f>
        <v>#REF!</v>
      </c>
      <c r="Z592" s="51" t="e">
        <f>IF(AND(OR(LEFT(TH!#REF!,2)="15",LEFT(TH!#REF!,2)="15"),TK!$E$7=TH!#REF!),"x","")</f>
        <v>#REF!</v>
      </c>
      <c r="AA592" s="51" t="str">
        <f>IF(AND(B592&lt;=NKC!$N$8,B592&gt;=NKC!$M$8),"x","")</f>
        <v/>
      </c>
      <c r="AB592" s="923"/>
      <c r="AC592" s="589"/>
      <c r="AD592" s="589"/>
    </row>
    <row r="593" spans="1:31" s="210" customFormat="1" ht="15.75" hidden="1" customHeight="1">
      <c r="A593" s="203" t="str">
        <f>IF(B593&lt;&gt;"",IF(AND(B593&gt;=_TM1,B593&lt;=_TM2,OR(TH!L593="1111",TH!M593="1111")),TH!D593,""),"")</f>
        <v/>
      </c>
      <c r="B593" s="36" t="str">
        <f t="shared" si="40"/>
        <v/>
      </c>
      <c r="C593" s="183"/>
      <c r="D593" s="190"/>
      <c r="E593" s="190"/>
      <c r="F593" s="191"/>
      <c r="G593" s="481"/>
      <c r="H593" s="209"/>
      <c r="I593" s="255"/>
      <c r="J593" s="255"/>
      <c r="K593" s="37"/>
      <c r="L593" s="193"/>
      <c r="M593" s="193"/>
      <c r="N593" s="51" t="str">
        <f>IF(AND('331-CT'!$E$7=TH!H689,OR(L593="331",M593="331")),"331",IF(AND(OR(L593="131",M593="131"),H593='131-CT'!$E$7),"131",""))</f>
        <v/>
      </c>
      <c r="O593" s="891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IF(OR(TH!L689=TH!$W$7,M593=TH!$W$7),"x","")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IF(AND(OR(LEFT(TH!L689,2)="15",LEFT(TH!M689,2)="15"),'152-CT'!$J$8=TH!F689),"x","")</f>
        <v/>
      </c>
      <c r="Z593" s="51" t="str">
        <f>IF(AND(OR(LEFT(TH!L689,2)="15",LEFT(TH!M689,2)="15"),TK!$E$7=TH!F689),"x","")</f>
        <v/>
      </c>
      <c r="AA593" s="51" t="str">
        <f>IF(AND(B593&lt;=NKC!$N$8,B593&gt;=NKC!$M$8),"x","")</f>
        <v/>
      </c>
      <c r="AB593" s="923"/>
      <c r="AC593" s="589"/>
    </row>
    <row r="594" spans="1:31" s="210" customFormat="1" ht="15.75" hidden="1" customHeight="1">
      <c r="A594" s="203" t="str">
        <f>IF(B594&lt;&gt;"",IF(AND(B594&gt;=_TM1,B594&lt;=_TM2,OR(TH!L594="1111",TH!M594="1111")),TH!D594,""),"")</f>
        <v/>
      </c>
      <c r="B594" s="36" t="str">
        <f t="shared" si="40"/>
        <v/>
      </c>
      <c r="C594" s="183"/>
      <c r="D594" s="190"/>
      <c r="E594" s="190"/>
      <c r="F594" s="191"/>
      <c r="G594" s="481"/>
      <c r="H594" s="209"/>
      <c r="I594" s="256"/>
      <c r="J594" s="256"/>
      <c r="K594" s="37"/>
      <c r="L594" s="193"/>
      <c r="M594" s="193"/>
      <c r="N594" s="51" t="str">
        <f>IF(AND('331-CT'!$E$7=TH!H690,OR(L594="331",M594="331")),"331",IF(AND(OR(L594="131",M594="131"),H594='131-CT'!$E$7),"131",""))</f>
        <v/>
      </c>
      <c r="O594" s="891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IF(OR(TH!L690=TH!$W$7,M594=TH!$W$7),"x","")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IF(AND(OR(LEFT(TH!L690,2)="15",LEFT(TH!M690,2)="15"),'152-CT'!$J$8=TH!F690),"x","")</f>
        <v/>
      </c>
      <c r="Z594" s="51" t="str">
        <f>IF(AND(OR(LEFT(TH!L690,2)="15",LEFT(TH!M690,2)="15"),TK!$E$7=TH!F690),"x","")</f>
        <v/>
      </c>
      <c r="AA594" s="51" t="str">
        <f>IF(AND(B594&lt;=NKC!$N$8,B594&gt;=NKC!$M$8),"x","")</f>
        <v/>
      </c>
      <c r="AB594" s="923"/>
      <c r="AC594" s="589"/>
      <c r="AD594" s="589"/>
    </row>
    <row r="595" spans="1:31" s="210" customFormat="1" ht="15.75" hidden="1" customHeight="1">
      <c r="A595" s="203" t="str">
        <f>IF(B595&lt;&gt;"",IF(AND(B595&gt;=_TM1,B595&lt;=_TM2,OR(TH!L595="1111",TH!M595="1111")),TH!D595,""),"")</f>
        <v/>
      </c>
      <c r="B595" s="36" t="str">
        <f t="shared" si="40"/>
        <v/>
      </c>
      <c r="C595" s="183"/>
      <c r="D595" s="190"/>
      <c r="E595" s="190"/>
      <c r="F595" s="191"/>
      <c r="G595" s="481"/>
      <c r="H595" s="209"/>
      <c r="I595" s="255"/>
      <c r="J595" s="255"/>
      <c r="K595" s="37"/>
      <c r="L595" s="193"/>
      <c r="M595" s="193"/>
      <c r="N595" s="51" t="str">
        <f>IF(AND('331-CT'!$E$7=TH!H691,OR(L595="331",M595="331")),"331",IF(AND(OR(L595="131",M595="131"),H595='131-CT'!$E$7),"131",""))</f>
        <v/>
      </c>
      <c r="O595" s="891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IF(OR(TH!L691=TH!$W$7,M595=TH!$W$7),"x","")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IF(AND(OR(LEFT(TH!L691,2)="15",LEFT(TH!M691,2)="15"),'152-CT'!$J$8=TH!F691),"x","")</f>
        <v/>
      </c>
      <c r="Z595" s="51" t="str">
        <f>IF(AND(OR(LEFT(TH!L691,2)="15",LEFT(TH!M691,2)="15"),TK!$E$7=TH!F691),"x","")</f>
        <v/>
      </c>
      <c r="AA595" s="51" t="str">
        <f>IF(AND(B595&lt;=NKC!$N$8,B595&gt;=NKC!$M$8),"x","")</f>
        <v/>
      </c>
      <c r="AB595" s="923"/>
      <c r="AC595" s="589"/>
      <c r="AD595" s="589"/>
    </row>
    <row r="596" spans="1:31" s="210" customFormat="1" ht="15.75" hidden="1" customHeight="1">
      <c r="A596" s="203" t="str">
        <f>IF(B596&lt;&gt;"",IF(AND(B596&gt;=_TM1,B596&lt;=_TM2,OR(TH!L596="1111",TH!M596="1111")),TH!D596,""),"")</f>
        <v/>
      </c>
      <c r="B596" s="36" t="str">
        <f t="shared" si="40"/>
        <v/>
      </c>
      <c r="C596" s="183"/>
      <c r="D596" s="190"/>
      <c r="E596" s="190"/>
      <c r="F596" s="191"/>
      <c r="G596" s="481"/>
      <c r="H596" s="209"/>
      <c r="I596" s="255"/>
      <c r="J596" s="255"/>
      <c r="K596" s="37"/>
      <c r="L596" s="193"/>
      <c r="M596" s="193"/>
      <c r="N596" s="51" t="str">
        <f>IF(AND('331-CT'!$E$7=TH!H692,OR(L596="331",M596="331")),"331",IF(AND(OR(L596="131",M596="131"),H596='131-CT'!$E$7),"131",""))</f>
        <v/>
      </c>
      <c r="O596" s="891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IF(OR(TH!L692=TH!$W$7,M596=TH!$W$7),"x","")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IF(AND(OR(LEFT(TH!L692,2)="15",LEFT(TH!M692,2)="15"),'152-CT'!$J$8=TH!F692),"x","")</f>
        <v/>
      </c>
      <c r="Z596" s="51" t="str">
        <f>IF(AND(OR(LEFT(TH!L692,2)="15",LEFT(TH!M692,2)="15"),TK!$E$7=TH!F692),"x","")</f>
        <v/>
      </c>
      <c r="AA596" s="51" t="str">
        <f>IF(AND(B596&lt;=NKC!$N$8,B596&gt;=NKC!$M$8),"x","")</f>
        <v/>
      </c>
      <c r="AB596" s="923"/>
      <c r="AC596" s="589"/>
      <c r="AD596" s="589"/>
    </row>
    <row r="597" spans="1:31" s="210" customFormat="1" ht="15.75" hidden="1" customHeight="1">
      <c r="A597" s="203" t="str">
        <f>IF(B597&lt;&gt;"",IF(AND(B597&gt;=_TM1,B597&lt;=_TM2,OR(TH!L597="1111",TH!M597="1111")),TH!D597,""),"")</f>
        <v/>
      </c>
      <c r="B597" s="36" t="str">
        <f t="shared" si="40"/>
        <v/>
      </c>
      <c r="C597" s="183"/>
      <c r="D597" s="190"/>
      <c r="E597" s="190"/>
      <c r="F597" s="191"/>
      <c r="G597" s="481"/>
      <c r="H597" s="209"/>
      <c r="I597" s="255"/>
      <c r="J597" s="255"/>
      <c r="K597" s="37"/>
      <c r="L597" s="193"/>
      <c r="M597" s="193"/>
      <c r="N597" s="51" t="str">
        <f>IF(AND('331-CT'!$E$7=TH!H693,OR(L597="331",M597="331")),"331",IF(AND(OR(L597="131",M597="131"),H597='131-CT'!$E$7),"131",""))</f>
        <v/>
      </c>
      <c r="O597" s="891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IF(OR(TH!L693=TH!$W$7,M597=TH!$W$7),"x","")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IF(AND(OR(LEFT(TH!L693,2)="15",LEFT(TH!M693,2)="15"),'152-CT'!$J$8=TH!F693),"x","")</f>
        <v/>
      </c>
      <c r="Z597" s="51" t="str">
        <f>IF(AND(OR(LEFT(TH!L693,2)="15",LEFT(TH!M693,2)="15"),TK!$E$7=TH!F693),"x","")</f>
        <v/>
      </c>
      <c r="AA597" s="51" t="str">
        <f>IF(AND(B597&lt;=NKC!$N$8,B597&gt;=NKC!$M$8),"x","")</f>
        <v/>
      </c>
      <c r="AB597" s="923"/>
      <c r="AC597" s="589"/>
      <c r="AD597" s="589"/>
    </row>
    <row r="598" spans="1:31" s="210" customFormat="1" ht="15.75" hidden="1" customHeight="1">
      <c r="A598" s="203" t="str">
        <f>IF(B598&lt;&gt;"",IF(AND(B598&gt;=_TM1,B598&lt;=_TM2,OR(TH!L598="1111",TH!M598="1111")),TH!D598,""),"")</f>
        <v/>
      </c>
      <c r="B598" s="36" t="str">
        <f t="shared" si="40"/>
        <v/>
      </c>
      <c r="C598" s="183"/>
      <c r="D598" s="190"/>
      <c r="E598" s="855"/>
      <c r="F598" s="856"/>
      <c r="G598" s="857"/>
      <c r="H598" s="858"/>
      <c r="I598" s="859"/>
      <c r="J598" s="859"/>
      <c r="K598" s="860"/>
      <c r="L598" s="909"/>
      <c r="M598" s="909"/>
      <c r="N598" s="51" t="str">
        <f>IF(AND('331-CT'!$E$7=TH!H694,OR(L598="331",M598="331")),"331",IF(AND(OR(L598="131",M598="131"),H598='131-CT'!$E$7),"131",""))</f>
        <v/>
      </c>
      <c r="O598" s="891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IF(OR(TH!L694=TH!$W$7,M598=TH!$W$7),"x","")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IF(AND(OR(LEFT(TH!L694,2)="15",LEFT(TH!M694,2)="15"),'152-CT'!$J$8=TH!F694),"x","")</f>
        <v/>
      </c>
      <c r="Z598" s="51" t="str">
        <f>IF(AND(OR(LEFT(TH!L694,2)="15",LEFT(TH!M694,2)="15"),TK!$E$7=TH!F694),"x","")</f>
        <v/>
      </c>
      <c r="AA598" s="51" t="str">
        <f>IF(AND(B598&lt;=NKC!$N$8,B598&gt;=NKC!$M$8),"x","")</f>
        <v/>
      </c>
      <c r="AB598" s="925"/>
      <c r="AC598" s="589"/>
      <c r="AD598" s="589"/>
    </row>
    <row r="599" spans="1:31" s="210" customFormat="1" ht="15.75" hidden="1" customHeight="1">
      <c r="A599" s="203" t="str">
        <f>IF(B599&lt;&gt;"",IF(AND(B599&gt;=_TM1,B599&lt;=_TM2,OR(TH!L599="1111",TH!M599="1111")),TH!D599,""),"")</f>
        <v/>
      </c>
      <c r="B599" s="36" t="str">
        <f t="shared" si="40"/>
        <v/>
      </c>
      <c r="C599" s="183"/>
      <c r="D599" s="190"/>
      <c r="E599" s="190"/>
      <c r="F599" s="191"/>
      <c r="G599" s="481"/>
      <c r="H599" s="192"/>
      <c r="I599" s="255"/>
      <c r="J599" s="255"/>
      <c r="K599" s="37"/>
      <c r="L599" s="193"/>
      <c r="M599" s="193"/>
      <c r="N599" s="51" t="str">
        <f>IF(AND('331-CT'!$E$7=TH!H695,OR(L599="331",M599="331")),"331",IF(AND(OR(L599="131",M599="131"),H599='131-CT'!$E$7),"131",""))</f>
        <v/>
      </c>
      <c r="O599" s="891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IF(OR(TH!L695=TH!$W$7,M599=TH!$W$7),"x","")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IF(AND(OR(LEFT(TH!L695,2)="15",LEFT(TH!M695,2)="15"),'152-CT'!$J$8=TH!F695),"x","")</f>
        <v/>
      </c>
      <c r="Z599" s="51" t="str">
        <f>IF(AND(OR(LEFT(TH!L695,2)="15",LEFT(TH!M695,2)="15"),TK!$E$7=TH!F695),"x","")</f>
        <v/>
      </c>
      <c r="AA599" s="51" t="str">
        <f>IF(AND(B599&lt;=NKC!$N$8,B599&gt;=NKC!$M$8),"x","")</f>
        <v/>
      </c>
      <c r="AB599" s="923"/>
      <c r="AC599" s="589"/>
      <c r="AD599" s="589"/>
    </row>
    <row r="600" spans="1:31" s="210" customFormat="1" ht="15.75" hidden="1" customHeight="1">
      <c r="A600" s="203" t="str">
        <f>IF(B600&lt;&gt;"",IF(AND(B600&gt;=_TM1,B600&lt;=_TM2,OR(TH!L600="1111",TH!M600="1111")),TH!D600,""),"")</f>
        <v/>
      </c>
      <c r="B600" s="36" t="str">
        <f t="shared" si="40"/>
        <v/>
      </c>
      <c r="C600" s="183"/>
      <c r="D600" s="190"/>
      <c r="E600" s="190"/>
      <c r="F600" s="191"/>
      <c r="G600" s="481"/>
      <c r="H600" s="192"/>
      <c r="I600" s="255"/>
      <c r="J600" s="255"/>
      <c r="K600" s="37"/>
      <c r="L600" s="193"/>
      <c r="M600" s="193"/>
      <c r="N600" s="51" t="str">
        <f>IF(AND('331-CT'!$E$7=TH!H696,OR(L600="331",M600="331")),"331",IF(AND(OR(L600="131",M600="131"),H600='131-CT'!$E$7),"131",""))</f>
        <v/>
      </c>
      <c r="O600" s="891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IF(OR(TH!L696=TH!$W$7,M600=TH!$W$7),"x","")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IF(AND(OR(LEFT(TH!L696,2)="15",LEFT(TH!M696,2)="15"),'152-CT'!$J$8=TH!F696),"x","")</f>
        <v/>
      </c>
      <c r="Z600" s="51" t="str">
        <f>IF(AND(OR(LEFT(TH!L696,2)="15",LEFT(TH!M696,2)="15"),TK!$E$7=TH!F696),"x","")</f>
        <v/>
      </c>
      <c r="AA600" s="51" t="str">
        <f>IF(AND(B600&lt;=NKC!$N$8,B600&gt;=NKC!$M$8),"x","")</f>
        <v/>
      </c>
      <c r="AB600" s="923"/>
      <c r="AC600" s="589"/>
      <c r="AD600" s="589"/>
    </row>
    <row r="601" spans="1:31" s="210" customFormat="1" ht="15.75" hidden="1" customHeight="1">
      <c r="A601" s="203" t="str">
        <f>IF(B601&lt;&gt;"",IF(AND(B601&gt;=_TM1,B601&lt;=_TM2,OR(TH!L601="1111",TH!M601="1111")),TH!D601,""),"")</f>
        <v/>
      </c>
      <c r="B601" s="36" t="str">
        <f t="shared" si="40"/>
        <v/>
      </c>
      <c r="C601" s="183"/>
      <c r="D601" s="190"/>
      <c r="E601" s="190"/>
      <c r="F601" s="191"/>
      <c r="G601" s="481"/>
      <c r="H601" s="192"/>
      <c r="I601" s="255"/>
      <c r="J601" s="255"/>
      <c r="K601" s="37"/>
      <c r="L601" s="193"/>
      <c r="M601" s="193"/>
      <c r="N601" s="51" t="str">
        <f>IF(AND('331-CT'!$E$7=TH!H697,OR(L601="331",M601="331")),"331",IF(AND(OR(L601="131",M601="131"),H601='131-CT'!$E$7),"131",""))</f>
        <v/>
      </c>
      <c r="O601" s="891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IF(OR(TH!L697=TH!$W$7,M601=TH!$W$7),"x","")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IF(AND(OR(LEFT(TH!L697,2)="15",LEFT(TH!M697,2)="15"),'152-CT'!$J$8=TH!F697),"x","")</f>
        <v/>
      </c>
      <c r="Z601" s="51" t="str">
        <f>IF(AND(OR(LEFT(TH!L697,2)="15",LEFT(TH!M697,2)="15"),TK!$E$7=TH!F697),"x","")</f>
        <v/>
      </c>
      <c r="AA601" s="51" t="str">
        <f>IF(AND(B601&lt;=NKC!$N$8,B601&gt;=NKC!$M$8),"x","")</f>
        <v/>
      </c>
      <c r="AB601" s="923"/>
      <c r="AC601" s="589"/>
      <c r="AD601" s="589"/>
    </row>
    <row r="602" spans="1:31" s="210" customFormat="1" ht="15.75" hidden="1" customHeight="1">
      <c r="A602" s="203" t="str">
        <f>IF(B602&lt;&gt;"",IF(AND(B602&gt;=_TM1,B602&lt;=_TM2,OR(TH!L602="1111",TH!M602="1111")),TH!D602,""),"")</f>
        <v/>
      </c>
      <c r="B602" s="36" t="str">
        <f t="shared" si="40"/>
        <v/>
      </c>
      <c r="C602" s="183"/>
      <c r="D602" s="190"/>
      <c r="E602" s="190"/>
      <c r="F602" s="191"/>
      <c r="G602" s="481"/>
      <c r="H602" s="192"/>
      <c r="I602" s="255"/>
      <c r="J602" s="255"/>
      <c r="K602" s="37"/>
      <c r="L602" s="193"/>
      <c r="M602" s="193"/>
      <c r="N602" s="51" t="str">
        <f>IF(AND('331-CT'!$E$7=TH!H698,OR(L602="331",M602="331")),"331",IF(AND(OR(L602="131",M602="131"),H602='131-CT'!$E$7),"131",""))</f>
        <v/>
      </c>
      <c r="O602" s="891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IF(OR(TH!L698=TH!$W$7,M602=TH!$W$7),"x","")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IF(AND(OR(LEFT(TH!L698,2)="15",LEFT(TH!M698,2)="15"),'152-CT'!$J$8=TH!F698),"x","")</f>
        <v/>
      </c>
      <c r="Z602" s="51" t="str">
        <f>IF(AND(OR(LEFT(TH!L698,2)="15",LEFT(TH!M698,2)="15"),TK!$E$7=TH!F698),"x","")</f>
        <v/>
      </c>
      <c r="AA602" s="51" t="str">
        <f>IF(AND(B602&lt;=NKC!$N$8,B602&gt;=NKC!$M$8),"x","")</f>
        <v/>
      </c>
      <c r="AB602" s="923"/>
      <c r="AC602" s="589"/>
      <c r="AD602" s="589"/>
    </row>
    <row r="603" spans="1:31" s="210" customFormat="1" ht="15.75" hidden="1" customHeight="1">
      <c r="A603" s="203" t="str">
        <f>IF(B603&lt;&gt;"",IF(AND(B603&gt;=_TM1,B603&lt;=_TM2,OR(TH!L603="1111",TH!M603="1111")),TH!D603,""),"")</f>
        <v/>
      </c>
      <c r="B603" s="36" t="str">
        <f t="shared" si="40"/>
        <v/>
      </c>
      <c r="C603" s="183"/>
      <c r="D603" s="190"/>
      <c r="E603" s="190"/>
      <c r="F603" s="191"/>
      <c r="G603" s="481"/>
      <c r="H603" s="7"/>
      <c r="I603" s="256"/>
      <c r="J603" s="256"/>
      <c r="K603" s="597"/>
      <c r="L603" s="193"/>
      <c r="M603" s="193"/>
      <c r="N603" s="51" t="str">
        <f>IF(AND('331-CT'!$E$7=TH!H699,OR(L603="331",M603="331")),"331",IF(AND(OR(L603="131",M603="131"),H603='131-CT'!$E$7),"131",""))</f>
        <v/>
      </c>
      <c r="O603" s="891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IF(OR(TH!L699=TH!$W$7,M603=TH!$W$7),"x","")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IF(AND(OR(LEFT(TH!L699,2)="15",LEFT(TH!M699,2)="15"),'152-CT'!$J$8=TH!F699),"x","")</f>
        <v/>
      </c>
      <c r="Z603" s="51" t="str">
        <f>IF(AND(OR(LEFT(TH!L699,2)="15",LEFT(TH!M699,2)="15"),TK!$E$7=TH!F699),"x","")</f>
        <v/>
      </c>
      <c r="AA603" s="51" t="str">
        <f>IF(AND(B603&lt;=NKC!$N$8,B603&gt;=NKC!$M$8),"x","")</f>
        <v/>
      </c>
      <c r="AB603" s="923"/>
      <c r="AC603" s="589"/>
    </row>
    <row r="604" spans="1:31" s="210" customFormat="1" ht="15.75" hidden="1" customHeight="1">
      <c r="A604" s="203" t="str">
        <f>IF(B604&lt;&gt;"",IF(AND(B604&gt;=_TM1,B604&lt;=_TM2,OR(TH!L604="1111",TH!M604="1111")),TH!D604,""),"")</f>
        <v/>
      </c>
      <c r="B604" s="36" t="str">
        <f t="shared" si="40"/>
        <v/>
      </c>
      <c r="C604" s="183"/>
      <c r="D604" s="190"/>
      <c r="E604" s="190"/>
      <c r="F604" s="191"/>
      <c r="G604" s="481"/>
      <c r="H604" s="209"/>
      <c r="I604" s="256"/>
      <c r="J604" s="256"/>
      <c r="K604" s="37"/>
      <c r="L604" s="193"/>
      <c r="M604" s="193"/>
      <c r="N604" s="51" t="str">
        <f>IF(AND('331-CT'!$E$7=TH!H700,OR(L604="331",M604="331")),"331",IF(AND(OR(L604="131",M604="131"),H604='131-CT'!$E$7),"131",""))</f>
        <v/>
      </c>
      <c r="O604" s="891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IF(OR(TH!L700=TH!$W$7,M604=TH!$W$7),"x","")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IF(AND(OR(LEFT(TH!L700,2)="15",LEFT(TH!M700,2)="15"),'152-CT'!$J$8=TH!F700),"x","")</f>
        <v/>
      </c>
      <c r="Z604" s="51" t="str">
        <f>IF(AND(OR(LEFT(TH!L700,2)="15",LEFT(TH!M700,2)="15"),TK!$E$7=TH!F700),"x","")</f>
        <v/>
      </c>
      <c r="AA604" s="51" t="str">
        <f>IF(AND(B604&lt;=NKC!$N$8,B604&gt;=NKC!$M$8),"x","")</f>
        <v/>
      </c>
      <c r="AB604" s="923"/>
      <c r="AC604" s="589"/>
      <c r="AD604" s="589"/>
    </row>
    <row r="605" spans="1:31" s="210" customFormat="1" ht="15.75" hidden="1" customHeight="1">
      <c r="A605" s="203" t="str">
        <f>IF(B605&lt;&gt;"",IF(AND(B605&gt;=_TM1,B605&lt;=_TM2,OR(TH!L605="1111",TH!M605="1111")),TH!D605,""),"")</f>
        <v/>
      </c>
      <c r="B605" s="36" t="str">
        <f t="shared" si="40"/>
        <v/>
      </c>
      <c r="C605" s="183"/>
      <c r="D605" s="190"/>
      <c r="E605" s="190"/>
      <c r="F605" s="191"/>
      <c r="G605" s="481"/>
      <c r="H605" s="209"/>
      <c r="I605" s="255"/>
      <c r="J605" s="255"/>
      <c r="K605" s="37"/>
      <c r="L605" s="193"/>
      <c r="M605" s="193"/>
      <c r="N605" s="51" t="str">
        <f>IF(AND('331-CT'!$E$7=TH!H701,OR(L605="331",M605="331")),"331",IF(AND(OR(L605="131",M605="131"),H605='131-CT'!$E$7),"131",""))</f>
        <v/>
      </c>
      <c r="O605" s="891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IF(OR(TH!L701=TH!$W$7,M605=TH!$W$7),"x","")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IF(AND(OR(LEFT(TH!L701,2)="15",LEFT(TH!M701,2)="15"),'152-CT'!$J$8=TH!F701),"x","")</f>
        <v/>
      </c>
      <c r="Z605" s="51" t="str">
        <f>IF(AND(OR(LEFT(TH!L701,2)="15",LEFT(TH!M701,2)="15"),TK!$E$7=TH!F701),"x","")</f>
        <v/>
      </c>
      <c r="AA605" s="51" t="str">
        <f>IF(AND(B605&lt;=NKC!$N$8,B605&gt;=NKC!$M$8),"x","")</f>
        <v/>
      </c>
      <c r="AB605" s="923"/>
      <c r="AC605" s="589"/>
      <c r="AD605" s="589"/>
    </row>
    <row r="606" spans="1:31" s="210" customFormat="1" ht="15.75" hidden="1" customHeight="1">
      <c r="A606" s="203" t="str">
        <f>IF(B606&lt;&gt;"",IF(AND(B606&gt;=_TM1,B606&lt;=_TM2,OR(TH!L606="1111",TH!M606="1111")),TH!D606,""),"")</f>
        <v/>
      </c>
      <c r="B606" s="36" t="str">
        <f t="shared" si="40"/>
        <v/>
      </c>
      <c r="C606" s="183"/>
      <c r="D606" s="190"/>
      <c r="E606" s="190"/>
      <c r="F606" s="191"/>
      <c r="G606" s="481"/>
      <c r="H606" s="209"/>
      <c r="I606" s="255"/>
      <c r="J606" s="255"/>
      <c r="K606" s="37"/>
      <c r="L606" s="193"/>
      <c r="M606" s="193"/>
      <c r="N606" s="51" t="str">
        <f>IF(AND('331-CT'!$E$7=TH!H702,OR(L606="331",M606="331")),"331",IF(AND(OR(L606="131",M606="131"),H606='131-CT'!$E$7),"131",""))</f>
        <v/>
      </c>
      <c r="O606" s="891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IF(OR(TH!L702=TH!$W$7,M606=TH!$W$7),"x","")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IF(AND(OR(LEFT(TH!L702,2)="15",LEFT(TH!M702,2)="15"),'152-CT'!$J$8=TH!F702),"x","")</f>
        <v/>
      </c>
      <c r="Z606" s="51" t="str">
        <f>IF(AND(OR(LEFT(TH!L702,2)="15",LEFT(TH!M702,2)="15"),TK!$E$7=TH!F702),"x","")</f>
        <v/>
      </c>
      <c r="AA606" s="51" t="str">
        <f>IF(AND(B606&lt;=NKC!$N$8,B606&gt;=NKC!$M$8),"x","")</f>
        <v/>
      </c>
      <c r="AB606" s="923"/>
      <c r="AC606" s="589"/>
    </row>
    <row r="607" spans="1:31" s="210" customFormat="1" ht="15.75" hidden="1" customHeight="1">
      <c r="A607" s="203" t="str">
        <f>IF(B607&lt;&gt;"",IF(AND(B607&gt;=_TM1,B607&lt;=_TM2,OR(TH!L607="1111",TH!M607="1111")),TH!D607,""),"")</f>
        <v/>
      </c>
      <c r="B607" s="36" t="str">
        <f t="shared" si="40"/>
        <v/>
      </c>
      <c r="C607" s="183"/>
      <c r="D607" s="190"/>
      <c r="E607" s="190"/>
      <c r="F607" s="191"/>
      <c r="G607" s="481"/>
      <c r="H607" s="209"/>
      <c r="I607" s="255"/>
      <c r="J607" s="255"/>
      <c r="K607" s="37"/>
      <c r="L607" s="193"/>
      <c r="M607" s="193"/>
      <c r="N607" s="51" t="str">
        <f>IF(AND('331-CT'!$E$7=TH!H703,OR(L607="331",M607="331")),"331",IF(AND(OR(L607="131",M607="131"),H607='131-CT'!$E$7),"131",""))</f>
        <v/>
      </c>
      <c r="O607" s="891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IF(OR(TH!L703=TH!$W$7,M607=TH!$W$7),"x","")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IF(AND(OR(LEFT(TH!L703,2)="15",LEFT(TH!M703,2)="15"),'152-CT'!$J$8=TH!F703),"x","")</f>
        <v/>
      </c>
      <c r="Z607" s="51" t="str">
        <f>IF(AND(OR(LEFT(TH!L703,2)="15",LEFT(TH!M703,2)="15"),TK!$E$7=TH!F703),"x","")</f>
        <v/>
      </c>
      <c r="AA607" s="51" t="str">
        <f>IF(AND(B607&lt;=NKC!$N$8,B607&gt;=NKC!$M$8),"x","")</f>
        <v/>
      </c>
      <c r="AB607" s="923"/>
      <c r="AC607" s="589"/>
      <c r="AD607" s="589"/>
    </row>
    <row r="608" spans="1:31" s="210" customFormat="1" ht="15.75" hidden="1" customHeight="1">
      <c r="A608" s="203" t="str">
        <f>IF(B608&lt;&gt;"",IF(AND(B608&gt;=_TM1,B608&lt;=_TM2,OR(TH!L608="1111",TH!M608="1111")),TH!D608,""),"")</f>
        <v/>
      </c>
      <c r="B608" s="36" t="str">
        <f t="shared" si="40"/>
        <v/>
      </c>
      <c r="C608" s="183"/>
      <c r="D608" s="190"/>
      <c r="E608" s="190"/>
      <c r="F608" s="191"/>
      <c r="G608" s="481"/>
      <c r="H608" s="209"/>
      <c r="I608" s="255"/>
      <c r="J608" s="255"/>
      <c r="K608" s="37"/>
      <c r="L608" s="193"/>
      <c r="M608" s="193"/>
      <c r="N608" s="51" t="str">
        <f>IF(AND('331-CT'!$E$7=TH!H704,OR(L608="331",M608="331")),"331",IF(AND(OR(L608="131",M608="131"),H608='131-CT'!$E$7),"131",""))</f>
        <v/>
      </c>
      <c r="O608" s="891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IF(OR(TH!L704=TH!$W$7,M608=TH!$W$7),"x","")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IF(AND(OR(LEFT(TH!L704,2)="15",LEFT(TH!M704,2)="15"),'152-CT'!$J$8=TH!F704),"x","")</f>
        <v/>
      </c>
      <c r="Z608" s="51" t="str">
        <f>IF(AND(OR(LEFT(TH!L704,2)="15",LEFT(TH!M704,2)="15"),TK!$E$7=TH!F704),"x","")</f>
        <v/>
      </c>
      <c r="AA608" s="51" t="str">
        <f>IF(AND(B608&lt;=NKC!$N$8,B608&gt;=NKC!$M$8),"x","")</f>
        <v/>
      </c>
      <c r="AB608" s="923"/>
      <c r="AC608" s="589"/>
      <c r="AD608" s="589"/>
      <c r="AE608" s="589"/>
    </row>
    <row r="609" spans="1:30" s="210" customFormat="1" ht="15.75" hidden="1" customHeight="1">
      <c r="A609" s="203" t="str">
        <f>IF(B609&lt;&gt;"",IF(AND(B609&gt;=_TM1,B609&lt;=_TM2,OR(TH!L609="1111",TH!M609="1111")),TH!D609,""),"")</f>
        <v/>
      </c>
      <c r="B609" s="36" t="str">
        <f t="shared" si="40"/>
        <v/>
      </c>
      <c r="C609" s="183"/>
      <c r="D609" s="190"/>
      <c r="E609" s="190"/>
      <c r="F609" s="191"/>
      <c r="G609" s="481"/>
      <c r="H609" s="209"/>
      <c r="I609" s="255"/>
      <c r="J609" s="255"/>
      <c r="K609" s="37"/>
      <c r="L609" s="193"/>
      <c r="M609" s="193"/>
      <c r="N609" s="51" t="str">
        <f>IF(AND('331-CT'!$E$7=TH!H705,OR(L609="331",M609="331")),"331",IF(AND(OR(L609="131",M609="131"),H609='131-CT'!$E$7),"131",""))</f>
        <v/>
      </c>
      <c r="O609" s="891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IF(OR(TH!L705=TH!$W$7,M609=TH!$W$7),"x","")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IF(AND(OR(LEFT(TH!L705,2)="15",LEFT(TH!M705,2)="15"),'152-CT'!$J$8=TH!F705),"x","")</f>
        <v/>
      </c>
      <c r="Z609" s="51" t="str">
        <f>IF(AND(OR(LEFT(TH!L705,2)="15",LEFT(TH!M705,2)="15"),TK!$E$7=TH!F705),"x","")</f>
        <v/>
      </c>
      <c r="AA609" s="51" t="str">
        <f>IF(AND(B609&lt;=NKC!$N$8,B609&gt;=NKC!$M$8),"x","")</f>
        <v/>
      </c>
      <c r="AB609" s="923"/>
      <c r="AC609" s="589"/>
      <c r="AD609" s="589"/>
    </row>
    <row r="610" spans="1:30" s="210" customFormat="1" ht="15.75" hidden="1" customHeight="1">
      <c r="A610" s="203" t="str">
        <f>IF(B610&lt;&gt;"",IF(AND(B610&gt;=_TM1,B610&lt;=_TM2,OR(TH!L610="1111",TH!M610="1111")),TH!D610,""),"")</f>
        <v/>
      </c>
      <c r="B610" s="36" t="str">
        <f t="shared" si="40"/>
        <v/>
      </c>
      <c r="C610" s="183"/>
      <c r="D610" s="190"/>
      <c r="E610" s="190"/>
      <c r="F610" s="191"/>
      <c r="G610" s="481"/>
      <c r="H610" s="209"/>
      <c r="I610" s="255"/>
      <c r="J610" s="255"/>
      <c r="K610" s="37"/>
      <c r="L610" s="193"/>
      <c r="M610" s="193"/>
      <c r="N610" s="51" t="str">
        <f>IF(AND('331-CT'!$E$7=TH!H706,OR(L610="331",M610="331")),"331",IF(AND(OR(L610="131",M610="131"),H610='131-CT'!$E$7),"131",""))</f>
        <v/>
      </c>
      <c r="O610" s="891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IF(OR(TH!L706=TH!$W$7,M610=TH!$W$7),"x","")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IF(AND(OR(LEFT(TH!L706,2)="15",LEFT(TH!M706,2)="15"),'152-CT'!$J$8=TH!F706),"x","")</f>
        <v/>
      </c>
      <c r="Z610" s="51" t="str">
        <f>IF(AND(OR(LEFT(TH!L706,2)="15",LEFT(TH!M706,2)="15"),TK!$E$7=TH!F706),"x","")</f>
        <v/>
      </c>
      <c r="AA610" s="51" t="str">
        <f>IF(AND(B610&lt;=NKC!$N$8,B610&gt;=NKC!$M$8),"x","")</f>
        <v/>
      </c>
      <c r="AB610" s="923"/>
      <c r="AC610" s="589"/>
      <c r="AD610" s="589"/>
    </row>
    <row r="611" spans="1:30" s="210" customFormat="1" ht="15.75" hidden="1" customHeight="1">
      <c r="A611" s="203" t="str">
        <f>IF(B611&lt;&gt;"",IF(AND(B611&gt;=_TM1,B611&lt;=_TM2,OR(TH!L611="1111",TH!M611="1111")),TH!D611,""),"")</f>
        <v/>
      </c>
      <c r="B611" s="36" t="str">
        <f t="shared" si="40"/>
        <v/>
      </c>
      <c r="C611" s="183"/>
      <c r="D611" s="190"/>
      <c r="E611" s="190"/>
      <c r="F611" s="191"/>
      <c r="G611" s="481"/>
      <c r="H611" s="7"/>
      <c r="I611" s="255"/>
      <c r="J611" s="255"/>
      <c r="K611" s="597"/>
      <c r="L611" s="193"/>
      <c r="M611" s="193"/>
      <c r="N611" s="51" t="str">
        <f>IF(AND('331-CT'!$E$7=TH!H707,OR(L611="331",M611="331")),"331",IF(AND(OR(L611="131",M611="131"),H611='131-CT'!$E$7),"131",""))</f>
        <v/>
      </c>
      <c r="O611" s="891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IF(OR(TH!L707=TH!$W$7,M611=TH!$W$7),"x","")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IF(AND(OR(LEFT(TH!L707,2)="15",LEFT(TH!M707,2)="15"),'152-CT'!$J$8=TH!F707),"x","")</f>
        <v/>
      </c>
      <c r="Z611" s="51" t="str">
        <f>IF(AND(OR(LEFT(TH!L707,2)="15",LEFT(TH!M707,2)="15"),TK!$E$7=TH!F707),"x","")</f>
        <v/>
      </c>
      <c r="AA611" s="51" t="str">
        <f>IF(AND(B611&lt;=NKC!$N$8,B611&gt;=NKC!$M$8),"x","")</f>
        <v/>
      </c>
      <c r="AB611" s="923"/>
      <c r="AC611" s="589"/>
      <c r="AD611" s="589"/>
    </row>
    <row r="612" spans="1:30" s="210" customFormat="1" ht="15.75" hidden="1" customHeight="1">
      <c r="A612" s="203" t="str">
        <f>IF(B612&lt;&gt;"",IF(AND(B612&gt;=_TM1,B612&lt;=_TM2,OR(TH!L612="1111",TH!M612="1111")),TH!D612,""),"")</f>
        <v/>
      </c>
      <c r="B612" s="36" t="str">
        <f t="shared" si="40"/>
        <v/>
      </c>
      <c r="C612" s="183"/>
      <c r="D612" s="190"/>
      <c r="E612" s="190"/>
      <c r="F612" s="191"/>
      <c r="G612" s="481"/>
      <c r="H612" s="209"/>
      <c r="I612" s="255"/>
      <c r="J612" s="255"/>
      <c r="K612" s="37"/>
      <c r="L612" s="193"/>
      <c r="M612" s="193"/>
      <c r="N612" s="51" t="str">
        <f>IF(AND('331-CT'!$E$7=TH!H708,OR(L612="331",M612="331")),"331",IF(AND(OR(L612="131",M612="131"),H612='131-CT'!$E$7),"131",""))</f>
        <v/>
      </c>
      <c r="O612" s="891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IF(OR(TH!L708=TH!$W$7,M612=TH!$W$7),"x","")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IF(AND(OR(LEFT(TH!L708,2)="15",LEFT(TH!M708,2)="15"),'152-CT'!$J$8=TH!F708),"x","")</f>
        <v/>
      </c>
      <c r="Z612" s="51" t="str">
        <f>IF(AND(OR(LEFT(TH!L708,2)="15",LEFT(TH!M708,2)="15"),TK!$E$7=TH!F708),"x","")</f>
        <v/>
      </c>
      <c r="AA612" s="51" t="str">
        <f>IF(AND(B612&lt;=NKC!$N$8,B612&gt;=NKC!$M$8),"x","")</f>
        <v/>
      </c>
      <c r="AB612" s="923"/>
      <c r="AC612" s="589"/>
      <c r="AD612" s="589"/>
    </row>
    <row r="613" spans="1:30" s="210" customFormat="1" ht="15.75" hidden="1" customHeight="1">
      <c r="A613" s="203" t="str">
        <f>IF(B613&lt;&gt;"",IF(AND(B613&gt;=_TM1,B613&lt;=_TM2,OR(TH!L613="1111",TH!M613="1111")),TH!D613,""),"")</f>
        <v/>
      </c>
      <c r="B613" s="36" t="str">
        <f t="shared" si="40"/>
        <v/>
      </c>
      <c r="C613" s="183"/>
      <c r="D613" s="190"/>
      <c r="E613" s="190"/>
      <c r="F613" s="191"/>
      <c r="G613" s="481"/>
      <c r="H613" s="209"/>
      <c r="I613" s="255"/>
      <c r="J613" s="255"/>
      <c r="K613" s="37"/>
      <c r="L613" s="193"/>
      <c r="M613" s="193"/>
      <c r="N613" s="51" t="str">
        <f>IF(AND('331-CT'!$E$7=TH!H709,OR(L613="331",M613="331")),"331",IF(AND(OR(L613="131",M613="131"),H613='131-CT'!$E$7),"131",""))</f>
        <v/>
      </c>
      <c r="O613" s="891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IF(OR(TH!L709=TH!$W$7,M613=TH!$W$7),"x","")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IF(AND(OR(LEFT(TH!L709,2)="15",LEFT(TH!M709,2)="15"),'152-CT'!$J$8=TH!F709),"x","")</f>
        <v/>
      </c>
      <c r="Z613" s="51" t="str">
        <f>IF(AND(OR(LEFT(TH!L709,2)="15",LEFT(TH!M709,2)="15"),TK!$E$7=TH!F709),"x","")</f>
        <v/>
      </c>
      <c r="AA613" s="51" t="str">
        <f>IF(AND(B613&lt;=NKC!$N$8,B613&gt;=NKC!$M$8),"x","")</f>
        <v/>
      </c>
      <c r="AB613" s="923"/>
      <c r="AC613" s="589"/>
      <c r="AD613" s="589"/>
    </row>
    <row r="614" spans="1:30" s="210" customFormat="1" ht="15.75" hidden="1" customHeight="1">
      <c r="A614" s="203" t="str">
        <f>IF(B614&lt;&gt;"",IF(AND(B614&gt;=_TM1,B614&lt;=_TM2,OR(TH!L614="1111",TH!M614="1111")),TH!D614,""),"")</f>
        <v/>
      </c>
      <c r="B614" s="36" t="str">
        <f t="shared" si="40"/>
        <v/>
      </c>
      <c r="C614" s="183"/>
      <c r="D614" s="190"/>
      <c r="E614" s="190"/>
      <c r="F614" s="191"/>
      <c r="G614" s="481"/>
      <c r="H614" s="209"/>
      <c r="I614" s="255"/>
      <c r="J614" s="255"/>
      <c r="K614" s="37"/>
      <c r="L614" s="193"/>
      <c r="M614" s="193"/>
      <c r="N614" s="51" t="str">
        <f>IF(AND('331-CT'!$E$7=TH!H710,OR(L614="331",M614="331")),"331",IF(AND(OR(L614="131",M614="131"),H614='131-CT'!$E$7),"131",""))</f>
        <v/>
      </c>
      <c r="O614" s="891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IF(OR(TH!L710=TH!$W$7,M614=TH!$W$7),"x","")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IF(AND(OR(LEFT(TH!L710,2)="15",LEFT(TH!M710,2)="15"),'152-CT'!$J$8=TH!F710),"x","")</f>
        <v/>
      </c>
      <c r="Z614" s="51" t="str">
        <f>IF(AND(OR(LEFT(TH!L710,2)="15",LEFT(TH!M710,2)="15"),TK!$E$7=TH!F710),"x","")</f>
        <v/>
      </c>
      <c r="AA614" s="51" t="str">
        <f>IF(AND(B614&lt;=NKC!$N$8,B614&gt;=NKC!$M$8),"x","")</f>
        <v/>
      </c>
      <c r="AB614" s="923"/>
      <c r="AC614" s="589"/>
      <c r="AD614" s="589"/>
    </row>
    <row r="615" spans="1:30" s="210" customFormat="1" ht="15.75" hidden="1" customHeight="1">
      <c r="A615" s="203" t="str">
        <f>IF(B615&lt;&gt;"",IF(AND(B615&gt;=_TM1,B615&lt;=_TM2,OR(TH!L615="1111",TH!M615="1111")),TH!D615,""),"")</f>
        <v/>
      </c>
      <c r="B615" s="36" t="str">
        <f t="shared" si="40"/>
        <v/>
      </c>
      <c r="C615" s="183"/>
      <c r="D615" s="190"/>
      <c r="E615" s="190"/>
      <c r="F615" s="191"/>
      <c r="G615" s="481"/>
      <c r="H615" s="209"/>
      <c r="I615" s="255"/>
      <c r="J615" s="255"/>
      <c r="K615" s="37"/>
      <c r="L615" s="193"/>
      <c r="M615" s="193"/>
      <c r="N615" s="51" t="str">
        <f>IF(AND('331-CT'!$E$7=TH!H711,OR(L615="331",M615="331")),"331",IF(AND(OR(L615="131",M615="131"),H615='131-CT'!$E$7),"131",""))</f>
        <v/>
      </c>
      <c r="O615" s="891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IF(OR(TH!L711=TH!$W$7,M615=TH!$W$7),"x","")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IF(AND(OR(LEFT(TH!L711,2)="15",LEFT(TH!M711,2)="15"),'152-CT'!$J$8=TH!F711),"x","")</f>
        <v/>
      </c>
      <c r="Z615" s="51" t="str">
        <f>IF(AND(OR(LEFT(TH!L711,2)="15",LEFT(TH!M711,2)="15"),TK!$E$7=TH!F711),"x","")</f>
        <v/>
      </c>
      <c r="AA615" s="51" t="str">
        <f>IF(AND(B615&lt;=NKC!$N$8,B615&gt;=NKC!$M$8),"x","")</f>
        <v/>
      </c>
      <c r="AB615" s="923"/>
      <c r="AC615" s="589"/>
    </row>
    <row r="616" spans="1:30" s="210" customFormat="1" ht="15.75" hidden="1" customHeight="1">
      <c r="A616" s="203" t="str">
        <f>IF(B616&lt;&gt;"",IF(AND(B616&gt;=_TM1,B616&lt;=_TM2,OR(TH!L616="1111",TH!M616="1111")),TH!D616,""),"")</f>
        <v/>
      </c>
      <c r="B616" s="36" t="str">
        <f t="shared" si="40"/>
        <v/>
      </c>
      <c r="C616" s="183"/>
      <c r="D616" s="190"/>
      <c r="E616" s="190"/>
      <c r="F616" s="191"/>
      <c r="G616" s="481"/>
      <c r="H616" s="209"/>
      <c r="I616" s="255"/>
      <c r="J616" s="255"/>
      <c r="K616" s="37"/>
      <c r="L616" s="193"/>
      <c r="M616" s="193"/>
      <c r="N616" s="51" t="str">
        <f>IF(AND('331-CT'!$E$7=TH!H712,OR(L616="331",M616="331")),"331",IF(AND(OR(L616="131",M616="131"),H616='131-CT'!$E$7),"131",""))</f>
        <v/>
      </c>
      <c r="O616" s="891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IF(OR(TH!L712=TH!$W$7,M616=TH!$W$7),"x","")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IF(AND(OR(LEFT(TH!L712,2)="15",LEFT(TH!M712,2)="15"),'152-CT'!$J$8=TH!F712),"x","")</f>
        <v/>
      </c>
      <c r="Z616" s="51" t="str">
        <f>IF(AND(OR(LEFT(TH!L712,2)="15",LEFT(TH!M712,2)="15"),TK!$E$7=TH!F712),"x","")</f>
        <v/>
      </c>
      <c r="AA616" s="51" t="str">
        <f>IF(AND(B616&lt;=NKC!$N$8,B616&gt;=NKC!$M$8),"x","")</f>
        <v/>
      </c>
      <c r="AB616" s="923"/>
      <c r="AC616" s="589"/>
      <c r="AD616" s="589"/>
    </row>
    <row r="617" spans="1:30" s="210" customFormat="1" ht="15.75" hidden="1" customHeight="1">
      <c r="A617" s="203" t="str">
        <f>IF(B617&lt;&gt;"",IF(AND(B617&gt;=_TM1,B617&lt;=_TM2,OR(TH!L617="1111",TH!M617="1111")),TH!D617,""),"")</f>
        <v/>
      </c>
      <c r="B617" s="36" t="str">
        <f t="shared" si="40"/>
        <v/>
      </c>
      <c r="C617" s="183"/>
      <c r="D617" s="190"/>
      <c r="E617" s="190"/>
      <c r="F617" s="191"/>
      <c r="G617" s="481"/>
      <c r="H617" s="209"/>
      <c r="I617" s="255"/>
      <c r="J617" s="255"/>
      <c r="K617" s="37"/>
      <c r="L617" s="193"/>
      <c r="M617" s="193"/>
      <c r="N617" s="51" t="str">
        <f>IF(AND('331-CT'!$E$7=TH!H713,OR(L617="331",M617="331")),"331",IF(AND(OR(L617="131",M617="131"),H617='131-CT'!$E$7),"131",""))</f>
        <v/>
      </c>
      <c r="O617" s="891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IF(OR(TH!L713=TH!$W$7,M617=TH!$W$7),"x","")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IF(AND(OR(LEFT(TH!L713,2)="15",LEFT(TH!M713,2)="15"),'152-CT'!$J$8=TH!F713),"x","")</f>
        <v/>
      </c>
      <c r="Z617" s="51" t="str">
        <f>IF(AND(OR(LEFT(TH!L713,2)="15",LEFT(TH!M713,2)="15"),TK!$E$7=TH!F713),"x","")</f>
        <v/>
      </c>
      <c r="AA617" s="51" t="str">
        <f>IF(AND(B617&lt;=NKC!$N$8,B617&gt;=NKC!$M$8),"x","")</f>
        <v/>
      </c>
      <c r="AB617" s="923"/>
      <c r="AC617" s="589"/>
    </row>
    <row r="618" spans="1:30" s="210" customFormat="1" ht="15.75" hidden="1" customHeight="1">
      <c r="A618" s="203" t="str">
        <f>IF(B618&lt;&gt;"",IF(AND(B618&gt;=_TM1,B618&lt;=_TM2,OR(TH!L618="1111",TH!M618="1111")),TH!D618,""),"")</f>
        <v/>
      </c>
      <c r="B618" s="36" t="str">
        <f t="shared" si="40"/>
        <v/>
      </c>
      <c r="C618" s="183"/>
      <c r="D618" s="190"/>
      <c r="E618" s="190"/>
      <c r="F618" s="191"/>
      <c r="G618" s="481"/>
      <c r="H618" s="209"/>
      <c r="I618" s="255"/>
      <c r="J618" s="255"/>
      <c r="K618" s="37"/>
      <c r="L618" s="193"/>
      <c r="M618" s="193"/>
      <c r="N618" s="51" t="str">
        <f>IF(AND('331-CT'!$E$7=TH!H714,OR(L618="331",M618="331")),"331",IF(AND(OR(L618="131",M618="131"),H618='131-CT'!$E$7),"131",""))</f>
        <v/>
      </c>
      <c r="O618" s="891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IF(OR(TH!L714=TH!$W$7,M618=TH!$W$7),"x","")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IF(AND(OR(LEFT(TH!L714,2)="15",LEFT(TH!M714,2)="15"),'152-CT'!$J$8=TH!F714),"x","")</f>
        <v/>
      </c>
      <c r="Z618" s="51" t="str">
        <f>IF(AND(OR(LEFT(TH!L714,2)="15",LEFT(TH!M714,2)="15"),TK!$E$7=TH!F714),"x","")</f>
        <v/>
      </c>
      <c r="AA618" s="51" t="str">
        <f>IF(AND(B618&lt;=NKC!$N$8,B618&gt;=NKC!$M$8),"x","")</f>
        <v/>
      </c>
      <c r="AB618" s="923"/>
      <c r="AC618" s="589"/>
      <c r="AD618" s="589"/>
    </row>
    <row r="619" spans="1:30" s="210" customFormat="1" ht="15.75" hidden="1" customHeight="1">
      <c r="A619" s="203" t="str">
        <f>IF(B619&lt;&gt;"",IF(AND(B619&gt;=_TM1,B619&lt;=_TM2,OR(TH!L619="1111",TH!M619="1111")),TH!D619,""),"")</f>
        <v/>
      </c>
      <c r="B619" s="36" t="str">
        <f t="shared" si="40"/>
        <v/>
      </c>
      <c r="C619" s="183"/>
      <c r="D619" s="190"/>
      <c r="E619" s="190"/>
      <c r="F619" s="191"/>
      <c r="G619" s="481"/>
      <c r="H619" s="7"/>
      <c r="I619" s="255"/>
      <c r="J619" s="255"/>
      <c r="K619" s="597"/>
      <c r="L619" s="193"/>
      <c r="M619" s="193"/>
      <c r="N619" s="51" t="str">
        <f>IF(AND('331-CT'!$E$7=TH!H715,OR(L619="331",M619="331")),"331",IF(AND(OR(L619="131",M619="131"),H619='131-CT'!$E$7),"131",""))</f>
        <v/>
      </c>
      <c r="O619" s="891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IF(OR(TH!L715=TH!$W$7,M619=TH!$W$7),"x","")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IF(AND(OR(LEFT(TH!L715,2)="15",LEFT(TH!M715,2)="15"),'152-CT'!$J$8=TH!F715),"x","")</f>
        <v/>
      </c>
      <c r="Z619" s="51" t="str">
        <f>IF(AND(OR(LEFT(TH!L715,2)="15",LEFT(TH!M715,2)="15"),TK!$E$7=TH!F715),"x","")</f>
        <v/>
      </c>
      <c r="AA619" s="51" t="str">
        <f>IF(AND(B619&lt;=NKC!$N$8,B619&gt;=NKC!$M$8),"x","")</f>
        <v/>
      </c>
      <c r="AB619" s="923"/>
      <c r="AC619" s="589"/>
      <c r="AD619" s="589"/>
    </row>
    <row r="620" spans="1:30" s="210" customFormat="1" ht="15.75" hidden="1" customHeight="1">
      <c r="A620" s="203" t="str">
        <f>IF(B620&lt;&gt;"",IF(AND(B620&gt;=_TM1,B620&lt;=_TM2,OR(TH!L620="1111",TH!M620="1111")),TH!D620,""),"")</f>
        <v/>
      </c>
      <c r="B620" s="36" t="str">
        <f t="shared" si="40"/>
        <v/>
      </c>
      <c r="C620" s="183"/>
      <c r="D620" s="190"/>
      <c r="E620" s="190"/>
      <c r="F620" s="191"/>
      <c r="G620" s="481"/>
      <c r="H620" s="192"/>
      <c r="I620" s="255"/>
      <c r="J620" s="255"/>
      <c r="K620" s="37"/>
      <c r="L620" s="193"/>
      <c r="M620" s="193"/>
      <c r="N620" s="51" t="str">
        <f>IF(AND('331-CT'!$E$7=TH!H716,OR(L620="331",M620="331")),"331",IF(AND(OR(L620="131",M620="131"),H620='131-CT'!$E$7),"131",""))</f>
        <v/>
      </c>
      <c r="O620" s="891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IF(OR(TH!L716=TH!$W$7,M620=TH!$W$7),"x","")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IF(AND(OR(LEFT(TH!L716,2)="15",LEFT(TH!M716,2)="15"),'152-CT'!$J$8=TH!F716),"x","")</f>
        <v/>
      </c>
      <c r="Z620" s="51" t="str">
        <f>IF(AND(OR(LEFT(TH!L716,2)="15",LEFT(TH!M716,2)="15"),TK!$E$7=TH!F716),"x","")</f>
        <v/>
      </c>
      <c r="AA620" s="51" t="str">
        <f>IF(AND(B620&lt;=NKC!$N$8,B620&gt;=NKC!$M$8),"x","")</f>
        <v/>
      </c>
      <c r="AB620" s="923"/>
      <c r="AC620" s="589"/>
      <c r="AD620" s="589"/>
    </row>
    <row r="621" spans="1:30" s="210" customFormat="1" ht="15.75" hidden="1" customHeight="1">
      <c r="A621" s="203" t="str">
        <f>IF(B621&lt;&gt;"",IF(AND(B621&gt;=_TM1,B621&lt;=_TM2,OR(TH!L621="1111",TH!M621="1111")),TH!D621,""),"")</f>
        <v/>
      </c>
      <c r="B621" s="36" t="str">
        <f t="shared" si="40"/>
        <v/>
      </c>
      <c r="C621" s="183"/>
      <c r="D621" s="190"/>
      <c r="E621" s="190"/>
      <c r="F621" s="191"/>
      <c r="G621" s="481"/>
      <c r="H621" s="192"/>
      <c r="I621" s="255"/>
      <c r="J621" s="255"/>
      <c r="K621" s="37"/>
      <c r="L621" s="193"/>
      <c r="M621" s="193"/>
      <c r="N621" s="51" t="str">
        <f>IF(AND('331-CT'!$E$7=TH!H717,OR(L621="331",M621="331")),"331",IF(AND(OR(L621="131",M621="131"),H621='131-CT'!$E$7),"131",""))</f>
        <v/>
      </c>
      <c r="O621" s="891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IF(OR(TH!L717=TH!$W$7,M621=TH!$W$7),"x","")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IF(AND(OR(LEFT(TH!L717,2)="15",LEFT(TH!M717,2)="15"),'152-CT'!$J$8=TH!F717),"x","")</f>
        <v/>
      </c>
      <c r="Z621" s="51" t="str">
        <f>IF(AND(OR(LEFT(TH!L717,2)="15",LEFT(TH!M717,2)="15"),TK!$E$7=TH!F717),"x","")</f>
        <v/>
      </c>
      <c r="AA621" s="51" t="str">
        <f>IF(AND(B621&lt;=NKC!$N$8,B621&gt;=NKC!$M$8),"x","")</f>
        <v/>
      </c>
      <c r="AB621" s="923"/>
      <c r="AC621" s="589"/>
      <c r="AD621" s="589"/>
    </row>
    <row r="622" spans="1:30" s="210" customFormat="1" ht="15.75" hidden="1" customHeight="1">
      <c r="A622" s="203" t="str">
        <f>IF(B622&lt;&gt;"",IF(AND(B622&gt;=_TM1,B622&lt;=_TM2,OR(TH!L622="1111",TH!M622="1111")),TH!D622,""),"")</f>
        <v/>
      </c>
      <c r="B622" s="36" t="str">
        <f t="shared" si="40"/>
        <v/>
      </c>
      <c r="C622" s="183"/>
      <c r="D622" s="190"/>
      <c r="E622" s="190"/>
      <c r="F622" s="191"/>
      <c r="G622" s="481"/>
      <c r="H622" s="192"/>
      <c r="I622" s="255"/>
      <c r="J622" s="255"/>
      <c r="K622" s="37"/>
      <c r="L622" s="193"/>
      <c r="M622" s="193"/>
      <c r="N622" s="51" t="str">
        <f>IF(AND('331-CT'!$E$7=TH!H718,OR(L622="331",M622="331")),"331",IF(AND(OR(L622="131",M622="131"),H622='131-CT'!$E$7),"131",""))</f>
        <v/>
      </c>
      <c r="O622" s="891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IF(OR(TH!L718=TH!$W$7,M622=TH!$W$7),"x","")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IF(AND(OR(LEFT(TH!L718,2)="15",LEFT(TH!M718,2)="15"),'152-CT'!$J$8=TH!F718),"x","")</f>
        <v/>
      </c>
      <c r="Z622" s="51" t="str">
        <f>IF(AND(OR(LEFT(TH!L718,2)="15",LEFT(TH!M718,2)="15"),TK!$E$7=TH!F718),"x","")</f>
        <v/>
      </c>
      <c r="AA622" s="51" t="str">
        <f>IF(AND(B622&lt;=NKC!$N$8,B622&gt;=NKC!$M$8),"x","")</f>
        <v/>
      </c>
      <c r="AB622" s="923"/>
      <c r="AC622" s="589"/>
      <c r="AD622" s="589"/>
    </row>
    <row r="623" spans="1:30" s="210" customFormat="1" ht="15.75" hidden="1" customHeight="1">
      <c r="A623" s="203" t="str">
        <f>IF(B623&lt;&gt;"",IF(AND(B623&gt;=_TM1,B623&lt;=_TM2,OR(TH!L623="1111",TH!M623="1111")),TH!D623,""),"")</f>
        <v/>
      </c>
      <c r="B623" s="36" t="str">
        <f t="shared" si="40"/>
        <v/>
      </c>
      <c r="C623" s="183"/>
      <c r="D623" s="190"/>
      <c r="E623" s="190"/>
      <c r="F623" s="191"/>
      <c r="G623" s="481"/>
      <c r="H623" s="192"/>
      <c r="I623" s="255"/>
      <c r="J623" s="255"/>
      <c r="K623" s="37"/>
      <c r="L623" s="193"/>
      <c r="M623" s="193"/>
      <c r="N623" s="51" t="str">
        <f>IF(AND('331-CT'!$E$7=TH!H719,OR(L623="331",M623="331")),"331",IF(AND(OR(L623="131",M623="131"),H623='131-CT'!$E$7),"131",""))</f>
        <v/>
      </c>
      <c r="O623" s="891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IF(OR(TH!L719=TH!$W$7,M623=TH!$W$7),"x","")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IF(AND(OR(LEFT(TH!L719,2)="15",LEFT(TH!M719,2)="15"),'152-CT'!$J$8=TH!F719),"x","")</f>
        <v/>
      </c>
      <c r="Z623" s="51" t="str">
        <f>IF(AND(OR(LEFT(TH!L719,2)="15",LEFT(TH!M719,2)="15"),TK!$E$7=TH!F719),"x","")</f>
        <v/>
      </c>
      <c r="AA623" s="51" t="str">
        <f>IF(AND(B623&lt;=NKC!$N$8,B623&gt;=NKC!$M$8),"x","")</f>
        <v/>
      </c>
      <c r="AB623" s="923"/>
      <c r="AC623" s="589"/>
      <c r="AD623" s="589"/>
    </row>
    <row r="624" spans="1:30" s="210" customFormat="1" ht="15.75" hidden="1" customHeight="1">
      <c r="A624" s="203" t="str">
        <f>IF(B624&lt;&gt;"",IF(AND(B624&gt;=_TM1,B624&lt;=_TM2,OR(TH!L624="1111",TH!M624="1111")),TH!D624,""),"")</f>
        <v/>
      </c>
      <c r="B624" s="36" t="str">
        <f t="shared" si="40"/>
        <v/>
      </c>
      <c r="C624" s="183"/>
      <c r="D624" s="190"/>
      <c r="E624" s="190"/>
      <c r="F624" s="191"/>
      <c r="G624" s="481"/>
      <c r="H624" s="7"/>
      <c r="I624" s="255"/>
      <c r="J624" s="255"/>
      <c r="K624" s="597"/>
      <c r="L624" s="193"/>
      <c r="M624" s="193"/>
      <c r="N624" s="51" t="str">
        <f>IF(AND('331-CT'!$E$7=TH!H720,OR(L624="331",M624="331")),"331",IF(AND(OR(L624="131",M624="131"),H624='131-CT'!$E$7),"131",""))</f>
        <v/>
      </c>
      <c r="O624" s="891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IF(OR(TH!L720=TH!$W$7,M624=TH!$W$7),"x","")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IF(AND(OR(LEFT(TH!L720,2)="15",LEFT(TH!M720,2)="15"),'152-CT'!$J$8=TH!F720),"x","")</f>
        <v/>
      </c>
      <c r="Z624" s="51" t="str">
        <f>IF(AND(OR(LEFT(TH!L720,2)="15",LEFT(TH!M720,2)="15"),TK!$E$7=TH!F720),"x","")</f>
        <v/>
      </c>
      <c r="AA624" s="51" t="str">
        <f>IF(AND(B624&lt;=NKC!$N$8,B624&gt;=NKC!$M$8),"x","")</f>
        <v/>
      </c>
      <c r="AB624" s="923"/>
      <c r="AC624" s="589"/>
      <c r="AD624" s="589"/>
    </row>
    <row r="625" spans="1:33" s="210" customFormat="1" ht="15.75" hidden="1" customHeight="1">
      <c r="A625" s="203" t="str">
        <f>IF(B625&lt;&gt;"",IF(AND(B625&gt;=_TM1,B625&lt;=_TM2,OR(TH!L625="1111",TH!M625="1111")),TH!D625,""),"")</f>
        <v/>
      </c>
      <c r="B625" s="36" t="str">
        <f t="shared" si="40"/>
        <v/>
      </c>
      <c r="C625" s="183"/>
      <c r="D625" s="190"/>
      <c r="E625" s="190"/>
      <c r="F625" s="191"/>
      <c r="G625" s="481"/>
      <c r="H625" s="7"/>
      <c r="I625" s="255"/>
      <c r="J625" s="255"/>
      <c r="K625" s="37"/>
      <c r="L625" s="193"/>
      <c r="M625" s="193"/>
      <c r="N625" s="51" t="str">
        <f>IF(AND('331-CT'!$E$7=TH!H721,OR(L625="331",M625="331")),"331",IF(AND(OR(L625="131",M625="131"),H625='131-CT'!$E$7),"131",""))</f>
        <v/>
      </c>
      <c r="O625" s="891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IF(OR(TH!L721=TH!$W$7,M625=TH!$W$7),"x","")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IF(AND(OR(LEFT(TH!L721,2)="15",LEFT(TH!M721,2)="15"),'152-CT'!$J$8=TH!F721),"x","")</f>
        <v/>
      </c>
      <c r="Z625" s="51" t="str">
        <f>IF(AND(OR(LEFT(TH!L721,2)="15",LEFT(TH!M721,2)="15"),TK!$E$7=TH!F721),"x","")</f>
        <v/>
      </c>
      <c r="AA625" s="51" t="str">
        <f>IF(AND(B625&lt;=NKC!$N$8,B625&gt;=NKC!$M$8),"x","")</f>
        <v/>
      </c>
      <c r="AB625" s="923"/>
      <c r="AC625" s="589"/>
      <c r="AD625" s="589"/>
    </row>
    <row r="626" spans="1:33" s="210" customFormat="1" ht="15.75" hidden="1" customHeight="1">
      <c r="A626" s="203" t="str">
        <f>IF(B626&lt;&gt;"",IF(AND(B626&gt;=_TM1,B626&lt;=_TM2,OR(TH!L626="1111",TH!M626="1111")),TH!D626,""),"")</f>
        <v/>
      </c>
      <c r="B626" s="36" t="str">
        <f t="shared" si="40"/>
        <v/>
      </c>
      <c r="C626" s="183"/>
      <c r="D626" s="190"/>
      <c r="E626" s="190"/>
      <c r="F626" s="191"/>
      <c r="G626" s="481"/>
      <c r="H626" s="7"/>
      <c r="I626" s="255"/>
      <c r="J626" s="255"/>
      <c r="K626" s="597"/>
      <c r="L626" s="193"/>
      <c r="M626" s="193"/>
      <c r="N626" s="51" t="str">
        <f>IF(AND('331-CT'!$E$7=TH!H722,OR(L626="331",M626="331")),"331",IF(AND(OR(L626="131",M626="131"),H626='131-CT'!$E$7),"131",""))</f>
        <v/>
      </c>
      <c r="O626" s="891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IF(OR(TH!L722=TH!$W$7,M626=TH!$W$7),"x","")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IF(AND(OR(LEFT(TH!L722,2)="15",LEFT(TH!M722,2)="15"),'152-CT'!$J$8=TH!F722),"x","")</f>
        <v/>
      </c>
      <c r="Z626" s="51" t="str">
        <f>IF(AND(OR(LEFT(TH!L722,2)="15",LEFT(TH!M722,2)="15"),TK!$E$7=TH!F722),"x","")</f>
        <v/>
      </c>
      <c r="AA626" s="51" t="str">
        <f>IF(AND(B626&lt;=NKC!$N$8,B626&gt;=NKC!$M$8),"x","")</f>
        <v/>
      </c>
      <c r="AB626" s="923"/>
      <c r="AC626" s="589"/>
    </row>
    <row r="627" spans="1:33" s="210" customFormat="1" ht="15.75" hidden="1" customHeight="1">
      <c r="A627" s="203" t="str">
        <f>IF(B627&lt;&gt;"",IF(AND(B627&gt;=_TM1,B627&lt;=_TM2,OR(TH!L627="1111",TH!M627="1111")),TH!D627,""),"")</f>
        <v/>
      </c>
      <c r="B627" s="36" t="str">
        <f t="shared" si="40"/>
        <v/>
      </c>
      <c r="C627" s="183"/>
      <c r="D627" s="190"/>
      <c r="E627" s="190"/>
      <c r="F627" s="191"/>
      <c r="G627" s="481"/>
      <c r="H627" s="901"/>
      <c r="I627" s="255"/>
      <c r="J627" s="255"/>
      <c r="K627" s="37"/>
      <c r="L627" s="193"/>
      <c r="M627" s="193"/>
      <c r="N627" s="51" t="str">
        <f>IF(AND('331-CT'!$E$7=TH!H723,OR(L627="331",M627="331")),"331",IF(AND(OR(L627="131",M627="131"),H627='131-CT'!$E$7),"131",""))</f>
        <v/>
      </c>
      <c r="O627" s="891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IF(OR(TH!L723=TH!$W$7,M627=TH!$W$7),"x","")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IF(AND(OR(LEFT(TH!L723,2)="15",LEFT(TH!M723,2)="15"),'152-CT'!$J$8=TH!F723),"x","")</f>
        <v/>
      </c>
      <c r="Z627" s="51" t="str">
        <f>IF(AND(OR(LEFT(TH!L723,2)="15",LEFT(TH!M723,2)="15"),TK!$E$7=TH!F723),"x","")</f>
        <v/>
      </c>
      <c r="AA627" s="51" t="str">
        <f>IF(AND(B627&lt;=NKC!$N$8,B627&gt;=NKC!$M$8),"x","")</f>
        <v/>
      </c>
      <c r="AB627" s="923"/>
      <c r="AC627" s="589"/>
      <c r="AD627" s="589"/>
    </row>
    <row r="628" spans="1:33" s="210" customFormat="1" ht="15.75" hidden="1" customHeight="1">
      <c r="A628" s="203" t="str">
        <f>IF(B628&lt;&gt;"",IF(AND(B628&gt;=_TM1,B628&lt;=_TM2,OR(TH!L628="1111",TH!M628="1111")),TH!D628,""),"")</f>
        <v/>
      </c>
      <c r="B628" s="36" t="str">
        <f t="shared" si="40"/>
        <v/>
      </c>
      <c r="C628" s="183"/>
      <c r="D628" s="190"/>
      <c r="E628" s="190"/>
      <c r="F628" s="191"/>
      <c r="G628" s="481"/>
      <c r="H628" s="901"/>
      <c r="I628" s="255"/>
      <c r="J628" s="255"/>
      <c r="K628" s="597"/>
      <c r="L628" s="193"/>
      <c r="M628" s="193"/>
      <c r="N628" s="51" t="str">
        <f>IF(AND('331-CT'!$E$7=TH!H724,OR(L628="331",M628="331")),"331",IF(AND(OR(L628="131",M628="131"),H628='131-CT'!$E$7),"131",""))</f>
        <v/>
      </c>
      <c r="O628" s="891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IF(OR(TH!L724=TH!$W$7,M628=TH!$W$7),"x","")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IF(AND(OR(LEFT(TH!L724,2)="15",LEFT(TH!M724,2)="15"),'152-CT'!$J$8=TH!F724),"x","")</f>
        <v/>
      </c>
      <c r="Z628" s="51" t="str">
        <f>IF(AND(OR(LEFT(TH!L724,2)="15",LEFT(TH!M724,2)="15"),TK!$E$7=TH!F724),"x","")</f>
        <v/>
      </c>
      <c r="AA628" s="51" t="str">
        <f>IF(AND(B628&lt;=NKC!$N$8,B628&gt;=NKC!$M$8),"x","")</f>
        <v/>
      </c>
      <c r="AB628" s="923"/>
      <c r="AC628" s="589"/>
      <c r="AD628" s="589"/>
      <c r="AE628" s="658"/>
    </row>
    <row r="629" spans="1:33" s="210" customFormat="1" ht="15.75" hidden="1" customHeight="1">
      <c r="A629" s="203" t="str">
        <f>IF(B629&lt;&gt;"",IF(AND(B629&gt;=_TM1,B629&lt;=_TM2,OR(TH!L629="1111",TH!M629="1111")),TH!D629,""),"")</f>
        <v/>
      </c>
      <c r="B629" s="36" t="str">
        <f t="shared" si="40"/>
        <v/>
      </c>
      <c r="C629" s="183"/>
      <c r="D629" s="190"/>
      <c r="E629" s="190"/>
      <c r="F629" s="191"/>
      <c r="G629" s="481"/>
      <c r="H629" s="7"/>
      <c r="I629" s="255"/>
      <c r="J629" s="255"/>
      <c r="K629" s="37"/>
      <c r="L629" s="193"/>
      <c r="M629" s="193"/>
      <c r="N629" s="51" t="str">
        <f>IF(AND('331-CT'!$E$7=TH!H725,OR(L629="331",M629="331")),"331",IF(AND(OR(L629="131",M629="131"),H629='131-CT'!$E$7),"131",""))</f>
        <v/>
      </c>
      <c r="O629" s="891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IF(OR(TH!L725=TH!$W$7,M629=TH!$W$7),"x","")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IF(AND(OR(LEFT(TH!L725,2)="15",LEFT(TH!M725,2)="15"),'152-CT'!$J$8=TH!F725),"x","")</f>
        <v/>
      </c>
      <c r="Z629" s="51" t="str">
        <f>IF(AND(OR(LEFT(TH!L725,2)="15",LEFT(TH!M725,2)="15"),TK!$E$7=TH!F725),"x","")</f>
        <v/>
      </c>
      <c r="AA629" s="51" t="str">
        <f>IF(AND(B629&lt;=NKC!$N$8,B629&gt;=NKC!$M$8),"x","")</f>
        <v/>
      </c>
      <c r="AB629" s="923"/>
      <c r="AC629" s="589"/>
      <c r="AD629" s="589"/>
    </row>
    <row r="630" spans="1:33" s="210" customFormat="1" ht="15.75" hidden="1" customHeight="1">
      <c r="A630" s="203" t="str">
        <f>IF(B630&lt;&gt;"",IF(AND(B630&gt;=_TM1,B630&lt;=_TM2,OR(TH!L630="1111",TH!M630="1111")),TH!D630,""),"")</f>
        <v/>
      </c>
      <c r="B630" s="36" t="str">
        <f t="shared" si="40"/>
        <v/>
      </c>
      <c r="C630" s="183"/>
      <c r="D630" s="190"/>
      <c r="E630" s="190"/>
      <c r="F630" s="191"/>
      <c r="G630" s="481"/>
      <c r="H630" s="7"/>
      <c r="I630" s="255"/>
      <c r="J630" s="255"/>
      <c r="K630" s="37"/>
      <c r="L630" s="193"/>
      <c r="M630" s="193"/>
      <c r="N630" s="51" t="str">
        <f>IF(AND('331-CT'!$E$7=TH!H726,OR(L630="331",M630="331")),"331",IF(AND(OR(L630="131",M630="131"),H630='131-CT'!$E$7),"131",""))</f>
        <v/>
      </c>
      <c r="O630" s="891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IF(OR(TH!L726=TH!$W$7,M630=TH!$W$7),"x","")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IF(AND(OR(LEFT(TH!L726,2)="15",LEFT(TH!M726,2)="15"),'152-CT'!$J$8=TH!F726),"x","")</f>
        <v/>
      </c>
      <c r="Z630" s="51" t="str">
        <f>IF(AND(OR(LEFT(TH!L726,2)="15",LEFT(TH!M726,2)="15"),TK!$E$7=TH!F726),"x","")</f>
        <v/>
      </c>
      <c r="AA630" s="51" t="str">
        <f>IF(AND(B630&lt;=NKC!$N$8,B630&gt;=NKC!$M$8),"x","")</f>
        <v/>
      </c>
      <c r="AB630" s="923"/>
      <c r="AC630" s="589"/>
    </row>
    <row r="631" spans="1:33" s="210" customFormat="1" ht="15.75" hidden="1" customHeight="1">
      <c r="A631" s="203" t="str">
        <f>IF(B631&lt;&gt;"",IF(AND(B631&gt;=_TM1,B631&lt;=_TM2,OR(TH!L631="1111",TH!M631="1111")),TH!D631,""),"")</f>
        <v/>
      </c>
      <c r="B631" s="36" t="str">
        <f t="shared" si="40"/>
        <v/>
      </c>
      <c r="C631" s="183"/>
      <c r="D631" s="190"/>
      <c r="E631" s="190"/>
      <c r="F631" s="191"/>
      <c r="G631" s="481"/>
      <c r="H631" s="7"/>
      <c r="I631" s="255"/>
      <c r="J631" s="255"/>
      <c r="K631" s="597"/>
      <c r="L631" s="193"/>
      <c r="M631" s="193"/>
      <c r="N631" s="51" t="str">
        <f>IF(AND('331-CT'!$E$7=TH!H727,OR(L631="331",M631="331")),"331",IF(AND(OR(L631="131",M631="131"),H631='131-CT'!$E$7),"131",""))</f>
        <v/>
      </c>
      <c r="O631" s="891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IF(OR(TH!L727=TH!$W$7,M631=TH!$W$7),"x","")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IF(AND(OR(LEFT(TH!L727,2)="15",LEFT(TH!M727,2)="15"),'152-CT'!$J$8=TH!F727),"x","")</f>
        <v/>
      </c>
      <c r="Z631" s="51" t="str">
        <f>IF(AND(OR(LEFT(TH!L727,2)="15",LEFT(TH!M727,2)="15"),TK!$E$7=TH!F727),"x","")</f>
        <v/>
      </c>
      <c r="AA631" s="51" t="str">
        <f>IF(AND(B631&lt;=NKC!$N$8,B631&gt;=NKC!$M$8),"x","")</f>
        <v/>
      </c>
      <c r="AB631" s="923"/>
      <c r="AC631" s="589"/>
      <c r="AD631" s="589"/>
    </row>
    <row r="632" spans="1:33" s="210" customFormat="1" ht="15.75" hidden="1" customHeight="1">
      <c r="A632" s="203" t="str">
        <f>IF(B632&lt;&gt;"",IF(AND(B632&gt;=_TM1,B632&lt;=_TM2,OR(TH!L632="1111",TH!M632="1111")),TH!D632,""),"")</f>
        <v/>
      </c>
      <c r="B632" s="36" t="str">
        <f t="shared" si="40"/>
        <v/>
      </c>
      <c r="C632" s="183"/>
      <c r="D632" s="190"/>
      <c r="E632" s="190"/>
      <c r="F632" s="296"/>
      <c r="G632" s="481"/>
      <c r="H632" s="7"/>
      <c r="I632" s="255"/>
      <c r="J632" s="255"/>
      <c r="K632" s="37"/>
      <c r="L632" s="193"/>
      <c r="M632" s="193"/>
      <c r="N632" s="51" t="str">
        <f>IF(AND('331-CT'!$E$7=TH!H728,OR(L632="331",M632="331")),"331",IF(AND(OR(L632="131",M632="131"),H632='131-CT'!$E$7),"131",""))</f>
        <v/>
      </c>
      <c r="O632" s="891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IF(OR(TH!L728=TH!$W$7,M632=TH!$W$7),"x","")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IF(AND(OR(LEFT(TH!L728,2)="15",LEFT(TH!M728,2)="15"),'152-CT'!$J$8=TH!F728),"x","")</f>
        <v/>
      </c>
      <c r="Z632" s="51" t="str">
        <f>IF(AND(OR(LEFT(TH!L728,2)="15",LEFT(TH!M728,2)="15"),TK!$E$7=TH!F728),"x","")</f>
        <v/>
      </c>
      <c r="AA632" s="51" t="str">
        <f>IF(AND(B632&lt;=NKC!$N$8,B632&gt;=NKC!$M$8),"x","")</f>
        <v/>
      </c>
      <c r="AB632" s="923"/>
      <c r="AC632" s="589"/>
    </row>
    <row r="633" spans="1:33" s="210" customFormat="1" ht="15.75" hidden="1" customHeight="1">
      <c r="A633" s="203" t="str">
        <f>IF(B633&lt;&gt;"",IF(AND(B633&gt;=_TM1,B633&lt;=_TM2,OR(TH!L633="1111",TH!M633="1111")),TH!D633,""),"")</f>
        <v/>
      </c>
      <c r="B633" s="36" t="str">
        <f t="shared" si="40"/>
        <v/>
      </c>
      <c r="C633" s="183"/>
      <c r="D633" s="190"/>
      <c r="E633" s="190"/>
      <c r="F633" s="191"/>
      <c r="G633" s="481"/>
      <c r="H633" s="7"/>
      <c r="I633" s="255"/>
      <c r="J633" s="255"/>
      <c r="K633" s="597"/>
      <c r="L633" s="193"/>
      <c r="M633" s="193"/>
      <c r="N633" s="51" t="str">
        <f>IF(AND('331-CT'!$E$7=TH!H729,OR(L633="331",M633="331")),"331",IF(AND(OR(L633="131",M633="131"),H633='131-CT'!$E$7),"131",""))</f>
        <v/>
      </c>
      <c r="O633" s="891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IF(OR(TH!L729=TH!$W$7,M633=TH!$W$7),"x","")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IF(AND(OR(LEFT(TH!L729,2)="15",LEFT(TH!M729,2)="15"),'152-CT'!$J$8=TH!F729),"x","")</f>
        <v/>
      </c>
      <c r="Z633" s="51" t="str">
        <f>IF(AND(OR(LEFT(TH!L729,2)="15",LEFT(TH!M729,2)="15"),TK!$E$7=TH!F729),"x","")</f>
        <v/>
      </c>
      <c r="AA633" s="51" t="str">
        <f>IF(AND(B633&lt;=NKC!$N$8,B633&gt;=NKC!$M$8),"x","")</f>
        <v/>
      </c>
      <c r="AB633" s="923"/>
      <c r="AC633" s="589"/>
      <c r="AD633" s="589"/>
    </row>
    <row r="634" spans="1:33" s="210" customFormat="1" ht="15.75" hidden="1" customHeight="1">
      <c r="A634" s="203" t="str">
        <f>IF(B634&lt;&gt;"",IF(AND(B634&gt;=_TM1,B634&lt;=_TM2,OR(TH!L634="1111",TH!M634="1111")),TH!D634,""),"")</f>
        <v/>
      </c>
      <c r="B634" s="36" t="str">
        <f t="shared" si="40"/>
        <v/>
      </c>
      <c r="C634" s="183"/>
      <c r="D634" s="190"/>
      <c r="E634" s="190"/>
      <c r="F634" s="191"/>
      <c r="G634" s="479"/>
      <c r="H634" s="44"/>
      <c r="I634" s="255"/>
      <c r="J634" s="255"/>
      <c r="K634" s="37"/>
      <c r="L634" s="193"/>
      <c r="M634" s="598"/>
      <c r="N634" s="51" t="str">
        <f>IF(AND('331-CT'!$E$7=TH!H336,OR(L634="331",M634="331")),"331",IF(AND(OR(L634="131",M634="131"),H634='131-CT'!$E$7),"131",""))</f>
        <v/>
      </c>
      <c r="O634" s="891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IF(OR(TH!L336=TH!$W$7,M634=TH!$W$7),"x","")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IF(AND(OR(LEFT(TH!L336,2)="15",LEFT(TH!M336,2)="15"),'152-CT'!$J$8=TH!F336),"x","")</f>
        <v/>
      </c>
      <c r="Z634" s="51" t="str">
        <f>IF(AND(OR(LEFT(TH!L336,2)="15",LEFT(TH!M336,2)="15"),TK!$E$7=TH!F336),"x","")</f>
        <v/>
      </c>
      <c r="AA634" s="51" t="str">
        <f>IF(AND(B634&lt;=NKC!$N$8,B634&gt;=NKC!$M$8),"x","")</f>
        <v/>
      </c>
      <c r="AB634" s="923"/>
      <c r="AC634" s="589"/>
      <c r="AF634" s="589"/>
      <c r="AG634" s="589"/>
    </row>
    <row r="635" spans="1:33" s="210" customFormat="1" ht="15.75" hidden="1" customHeight="1">
      <c r="A635" s="203" t="str">
        <f>IF(B635&lt;&gt;"",IF(AND(B635&gt;=_TM1,B635&lt;=_TM2,OR(TH!L635="1111",TH!M635="1111")),TH!D635,""),"")</f>
        <v/>
      </c>
      <c r="B635" s="36" t="str">
        <f t="shared" si="40"/>
        <v/>
      </c>
      <c r="C635" s="183"/>
      <c r="D635" s="190"/>
      <c r="E635" s="190"/>
      <c r="F635" s="191"/>
      <c r="G635" s="479"/>
      <c r="H635" s="44"/>
      <c r="I635" s="255"/>
      <c r="J635" s="255"/>
      <c r="K635" s="37"/>
      <c r="L635" s="193"/>
      <c r="M635" s="598"/>
      <c r="N635" s="51" t="str">
        <f>IF(AND('331-CT'!$E$7=TH!H337,OR(L635="331",M635="331")),"331",IF(AND(OR(L635="131",M635="131"),H635='131-CT'!$E$7),"131",""))</f>
        <v/>
      </c>
      <c r="O635" s="891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IF(OR(TH!L337=TH!$W$7,M635=TH!$W$7),"x","")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IF(AND(OR(LEFT(TH!L337,2)="15",LEFT(TH!M337,2)="15"),'152-CT'!$J$8=TH!F337),"x","")</f>
        <v/>
      </c>
      <c r="Z635" s="51" t="str">
        <f>IF(AND(OR(LEFT(TH!L337,2)="15",LEFT(TH!M337,2)="15"),TK!$E$7=TH!F337),"x","")</f>
        <v/>
      </c>
      <c r="AA635" s="51" t="str">
        <f>IF(AND(B635&lt;=NKC!$N$8,B635&gt;=NKC!$M$8),"x","")</f>
        <v/>
      </c>
      <c r="AB635" s="923"/>
      <c r="AC635" s="589"/>
      <c r="AD635" s="589"/>
      <c r="AF635" s="589"/>
      <c r="AG635" s="589"/>
    </row>
    <row r="636" spans="1:33" s="210" customFormat="1" ht="15.75" hidden="1" customHeight="1">
      <c r="A636" s="203" t="str">
        <f>IF(B636&lt;&gt;"",IF(AND(B636&gt;=_TM1,B636&lt;=_TM2,OR(TH!L636="1111",TH!M636="1111")),TH!D636,""),"")</f>
        <v/>
      </c>
      <c r="B636" s="36" t="str">
        <f t="shared" si="40"/>
        <v/>
      </c>
      <c r="C636" s="183"/>
      <c r="D636" s="190"/>
      <c r="E636" s="190"/>
      <c r="F636" s="191"/>
      <c r="G636" s="481"/>
      <c r="H636" s="192"/>
      <c r="I636" s="255"/>
      <c r="J636" s="255"/>
      <c r="K636" s="37"/>
      <c r="L636" s="193"/>
      <c r="M636" s="193"/>
      <c r="N636" s="51" t="str">
        <f>IF(AND('331-CT'!$E$7=TH!H730,OR(L636="331",M636="331")),"331",IF(AND(OR(L636="131",M636="131"),H636='131-CT'!$E$7),"131",""))</f>
        <v/>
      </c>
      <c r="O636" s="891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IF(OR(TH!L730=TH!$W$7,M636=TH!$W$7),"x","")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IF(AND(OR(LEFT(TH!L730,2)="15",LEFT(TH!M730,2)="15"),'152-CT'!$J$8=TH!F730),"x","")</f>
        <v/>
      </c>
      <c r="Z636" s="51" t="str">
        <f>IF(AND(OR(LEFT(TH!L730,2)="15",LEFT(TH!M730,2)="15"),TK!$E$7=TH!F730),"x","")</f>
        <v/>
      </c>
      <c r="AA636" s="51" t="str">
        <f>IF(AND(B636&lt;=NKC!$N$8,B636&gt;=NKC!$M$8),"x","")</f>
        <v/>
      </c>
      <c r="AB636" s="923"/>
      <c r="AC636" s="589"/>
      <c r="AD636" s="589"/>
    </row>
    <row r="637" spans="1:33" s="210" customFormat="1" ht="15.75" hidden="1" customHeight="1">
      <c r="A637" s="203" t="str">
        <f>IF(B637&lt;&gt;"",IF(AND(B637&gt;=_TM1,B637&lt;=_TM2,OR(TH!L637="1111",TH!M637="1111")),TH!D637,""),"")</f>
        <v/>
      </c>
      <c r="B637" s="36" t="str">
        <f t="shared" si="40"/>
        <v/>
      </c>
      <c r="C637" s="183"/>
      <c r="D637" s="190"/>
      <c r="E637" s="190"/>
      <c r="F637" s="191"/>
      <c r="G637" s="481"/>
      <c r="H637" s="192"/>
      <c r="I637" s="255"/>
      <c r="J637" s="255"/>
      <c r="K637" s="37"/>
      <c r="L637" s="193"/>
      <c r="M637" s="193"/>
      <c r="N637" s="51" t="e">
        <f>IF(AND('331-CT'!$E$7=TH!#REF!,OR(L637="331",M637="331")),"331",IF(AND(OR(L637="131",M637="131"),H637='131-CT'!$E$7),"131",""))</f>
        <v>#REF!</v>
      </c>
      <c r="O637" s="891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e">
        <f>IF(OR(TH!#REF!=TH!$W$7,M637=TH!$W$7),"x","")</f>
        <v>#REF!</v>
      </c>
      <c r="X637" s="51" t="str">
        <f>IF(AND(B637&gt;='IN-NX'!$P$3,B637&lt;='IN-NX'!$Q$3,'IN-NX'!$D$7=D637,OR(LEFT(L637,2)="15",AND(LEFT(M637,2)&lt;&gt;"15",LEFT(M637,2)&lt;&gt;"33"))),"x","")</f>
        <v/>
      </c>
      <c r="Y637" s="51" t="e">
        <f>IF(AND(OR(LEFT(TH!#REF!,2)="15",LEFT(TH!#REF!,2)="15"),'152-CT'!$J$8=TH!#REF!),"x","")</f>
        <v>#REF!</v>
      </c>
      <c r="Z637" s="51" t="e">
        <f>IF(AND(OR(LEFT(TH!#REF!,2)="15",LEFT(TH!#REF!,2)="15"),TK!$E$7=TH!#REF!),"x","")</f>
        <v>#REF!</v>
      </c>
      <c r="AA637" s="51" t="str">
        <f>IF(AND(B637&lt;=NKC!$N$8,B637&gt;=NKC!$M$8),"x","")</f>
        <v/>
      </c>
      <c r="AB637" s="923"/>
      <c r="AC637" s="589"/>
      <c r="AD637" s="589"/>
    </row>
    <row r="638" spans="1:33" s="210" customFormat="1" ht="15.75" hidden="1" customHeight="1">
      <c r="A638" s="203" t="str">
        <f>IF(B638&lt;&gt;"",IF(AND(B638&gt;=_TM1,B638&lt;=_TM2,OR(TH!L638="1111",TH!M638="1111")),TH!D638,""),"")</f>
        <v/>
      </c>
      <c r="B638" s="36" t="str">
        <f t="shared" si="40"/>
        <v/>
      </c>
      <c r="C638" s="183"/>
      <c r="D638" s="190"/>
      <c r="E638" s="190"/>
      <c r="F638" s="191"/>
      <c r="G638" s="481"/>
      <c r="H638" s="192"/>
      <c r="I638" s="255"/>
      <c r="J638" s="255"/>
      <c r="K638" s="37"/>
      <c r="L638" s="193"/>
      <c r="M638" s="193"/>
      <c r="N638" s="51" t="e">
        <f>IF(AND('331-CT'!$E$7=TH!#REF!,OR(L638="331",M638="331")),"331",IF(AND(OR(L638="131",M638="131"),H638='131-CT'!$E$7),"131",""))</f>
        <v>#REF!</v>
      </c>
      <c r="O638" s="891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e">
        <f>IF(OR(TH!#REF!=TH!$W$7,M638=TH!$W$7),"x","")</f>
        <v>#REF!</v>
      </c>
      <c r="X638" s="51" t="str">
        <f>IF(AND(B638&gt;='IN-NX'!$P$3,B638&lt;='IN-NX'!$Q$3,'IN-NX'!$D$7=D638,OR(LEFT(L638,2)="15",AND(LEFT(M638,2)&lt;&gt;"15",LEFT(M638,2)&lt;&gt;"33"))),"x","")</f>
        <v/>
      </c>
      <c r="Y638" s="51" t="e">
        <f>IF(AND(OR(LEFT(TH!#REF!,2)="15",LEFT(TH!#REF!,2)="15"),'152-CT'!$J$8=TH!#REF!),"x","")</f>
        <v>#REF!</v>
      </c>
      <c r="Z638" s="51" t="e">
        <f>IF(AND(OR(LEFT(TH!#REF!,2)="15",LEFT(TH!#REF!,2)="15"),TK!$E$7=TH!#REF!),"x","")</f>
        <v>#REF!</v>
      </c>
      <c r="AA638" s="51" t="str">
        <f>IF(AND(B638&lt;=NKC!$N$8,B638&gt;=NKC!$M$8),"x","")</f>
        <v/>
      </c>
      <c r="AB638" s="923"/>
      <c r="AC638" s="589"/>
    </row>
    <row r="639" spans="1:33" s="210" customFormat="1" ht="15.75" hidden="1" customHeight="1">
      <c r="A639" s="203" t="str">
        <f>IF(B639&lt;&gt;"",IF(AND(B639&gt;=_TM1,B639&lt;=_TM2,OR(TH!L639="1111",TH!M639="1111")),TH!D639,""),"")</f>
        <v/>
      </c>
      <c r="B639" s="36" t="str">
        <f t="shared" si="40"/>
        <v/>
      </c>
      <c r="C639" s="183"/>
      <c r="D639" s="190"/>
      <c r="E639" s="190"/>
      <c r="F639" s="191"/>
      <c r="G639" s="481"/>
      <c r="H639" s="192"/>
      <c r="I639" s="255"/>
      <c r="J639" s="255"/>
      <c r="K639" s="37"/>
      <c r="L639" s="193"/>
      <c r="M639" s="193"/>
      <c r="N639" s="51" t="e">
        <f>IF(AND('331-CT'!$E$7=TH!#REF!,OR(L639="331",M639="331")),"331",IF(AND(OR(L639="131",M639="131"),H639='131-CT'!$E$7),"131",""))</f>
        <v>#REF!</v>
      </c>
      <c r="O639" s="891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e">
        <f>IF(OR(TH!#REF!=TH!$W$7,M639=TH!$W$7),"x","")</f>
        <v>#REF!</v>
      </c>
      <c r="X639" s="51" t="str">
        <f>IF(AND(B639&gt;='IN-NX'!$P$3,B639&lt;='IN-NX'!$Q$3,'IN-NX'!$D$7=D639,OR(LEFT(L639,2)="15",AND(LEFT(M639,2)&lt;&gt;"15",LEFT(M639,2)&lt;&gt;"33"))),"x","")</f>
        <v/>
      </c>
      <c r="Y639" s="51" t="e">
        <f>IF(AND(OR(LEFT(TH!#REF!,2)="15",LEFT(TH!#REF!,2)="15"),'152-CT'!$J$8=TH!#REF!),"x","")</f>
        <v>#REF!</v>
      </c>
      <c r="Z639" s="51" t="e">
        <f>IF(AND(OR(LEFT(TH!#REF!,2)="15",LEFT(TH!#REF!,2)="15"),TK!$E$7=TH!#REF!),"x","")</f>
        <v>#REF!</v>
      </c>
      <c r="AA639" s="51" t="str">
        <f>IF(AND(B639&lt;=NKC!$N$8,B639&gt;=NKC!$M$8),"x","")</f>
        <v/>
      </c>
      <c r="AB639" s="923"/>
      <c r="AC639" s="589"/>
    </row>
    <row r="640" spans="1:33" s="210" customFormat="1" ht="15.75" hidden="1" customHeight="1">
      <c r="A640" s="203" t="str">
        <f>IF(B640&lt;&gt;"",IF(AND(B640&gt;=_TM1,B640&lt;=_TM2,OR(TH!L640="1111",TH!M640="1111")),TH!D640,""),"")</f>
        <v/>
      </c>
      <c r="B640" s="36" t="str">
        <f t="shared" si="40"/>
        <v/>
      </c>
      <c r="C640" s="183"/>
      <c r="D640" s="190"/>
      <c r="E640" s="190"/>
      <c r="F640" s="191"/>
      <c r="G640" s="481"/>
      <c r="H640" s="7"/>
      <c r="I640" s="255"/>
      <c r="J640" s="255"/>
      <c r="K640" s="597"/>
      <c r="L640" s="193"/>
      <c r="M640" s="193"/>
      <c r="N640" s="51" t="e">
        <f>IF(AND('331-CT'!$E$7=TH!#REF!,OR(L640="331",M640="331")),"331",IF(AND(OR(L640="131",M640="131"),H640='131-CT'!$E$7),"131",""))</f>
        <v>#REF!</v>
      </c>
      <c r="O640" s="891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e">
        <f>IF(OR(TH!#REF!=TH!$W$7,M640=TH!$W$7),"x","")</f>
        <v>#REF!</v>
      </c>
      <c r="X640" s="51" t="str">
        <f>IF(AND(B640&gt;='IN-NX'!$P$3,B640&lt;='IN-NX'!$Q$3,'IN-NX'!$D$7=D640,OR(LEFT(L640,2)="15",AND(LEFT(M640,2)&lt;&gt;"15",LEFT(M640,2)&lt;&gt;"33"))),"x","")</f>
        <v/>
      </c>
      <c r="Y640" s="51" t="e">
        <f>IF(AND(OR(LEFT(TH!#REF!,2)="15",LEFT(TH!#REF!,2)="15"),'152-CT'!$J$8=TH!#REF!),"x","")</f>
        <v>#REF!</v>
      </c>
      <c r="Z640" s="51" t="e">
        <f>IF(AND(OR(LEFT(TH!#REF!,2)="15",LEFT(TH!#REF!,2)="15"),TK!$E$7=TH!#REF!),"x","")</f>
        <v>#REF!</v>
      </c>
      <c r="AA640" s="51" t="str">
        <f>IF(AND(B640&lt;=NKC!$N$8,B640&gt;=NKC!$M$8),"x","")</f>
        <v/>
      </c>
      <c r="AB640" s="923"/>
      <c r="AC640" s="589"/>
    </row>
    <row r="641" spans="1:33" s="210" customFormat="1" ht="15.75" hidden="1" customHeight="1">
      <c r="A641" s="203" t="str">
        <f>IF(B641&lt;&gt;"",IF(AND(B641&gt;=_TM1,B641&lt;=_TM2,OR(TH!L641="1111",TH!M641="1111")),TH!D641,""),"")</f>
        <v/>
      </c>
      <c r="B641" s="36" t="str">
        <f t="shared" si="40"/>
        <v/>
      </c>
      <c r="C641" s="183"/>
      <c r="D641" s="190"/>
      <c r="E641" s="190"/>
      <c r="F641" s="191"/>
      <c r="G641" s="481"/>
      <c r="H641" s="901"/>
      <c r="I641" s="255"/>
      <c r="J641" s="255"/>
      <c r="K641" s="37"/>
      <c r="L641" s="193"/>
      <c r="M641" s="193"/>
      <c r="N641" s="51" t="e">
        <f>IF(AND('331-CT'!$E$7=TH!#REF!,OR(L641="331",M641="331")),"331",IF(AND(OR(L641="131",M641="131"),H641='131-CT'!$E$7),"131",""))</f>
        <v>#REF!</v>
      </c>
      <c r="O641" s="891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e">
        <f>IF(OR(TH!#REF!=TH!$W$7,M641=TH!$W$7),"x","")</f>
        <v>#REF!</v>
      </c>
      <c r="X641" s="51" t="str">
        <f>IF(AND(B641&gt;='IN-NX'!$P$3,B641&lt;='IN-NX'!$Q$3,'IN-NX'!$D$7=D641,OR(LEFT(L641,2)="15",AND(LEFT(M641,2)&lt;&gt;"15",LEFT(M641,2)&lt;&gt;"33"))),"x","")</f>
        <v/>
      </c>
      <c r="Y641" s="51" t="e">
        <f>IF(AND(OR(LEFT(TH!#REF!,2)="15",LEFT(TH!#REF!,2)="15"),'152-CT'!$J$8=TH!#REF!),"x","")</f>
        <v>#REF!</v>
      </c>
      <c r="Z641" s="51" t="e">
        <f>IF(AND(OR(LEFT(TH!#REF!,2)="15",LEFT(TH!#REF!,2)="15"),TK!$E$7=TH!#REF!),"x","")</f>
        <v>#REF!</v>
      </c>
      <c r="AA641" s="51" t="str">
        <f>IF(AND(B641&lt;=NKC!$N$8,B641&gt;=NKC!$M$8),"x","")</f>
        <v/>
      </c>
      <c r="AB641" s="923"/>
      <c r="AC641" s="589"/>
      <c r="AD641" s="589"/>
    </row>
    <row r="642" spans="1:33" s="210" customFormat="1" ht="15.75" hidden="1" customHeight="1">
      <c r="A642" s="203" t="str">
        <f>IF(B642&lt;&gt;"",IF(AND(B642&gt;=_TM1,B642&lt;=_TM2,OR(TH!L642="1111",TH!M642="1111")),TH!D642,""),"")</f>
        <v/>
      </c>
      <c r="B642" s="36" t="str">
        <f t="shared" si="40"/>
        <v/>
      </c>
      <c r="C642" s="183"/>
      <c r="D642" s="190"/>
      <c r="E642" s="190"/>
      <c r="F642" s="191"/>
      <c r="G642" s="481"/>
      <c r="H642" s="901"/>
      <c r="I642" s="255"/>
      <c r="J642" s="255"/>
      <c r="K642" s="597"/>
      <c r="L642" s="193"/>
      <c r="M642" s="193"/>
      <c r="N642" s="51" t="e">
        <f>IF(AND('331-CT'!$E$7=TH!#REF!,OR(L642="331",M642="331")),"331",IF(AND(OR(L642="131",M642="131"),H642='131-CT'!$E$7),"131",""))</f>
        <v>#REF!</v>
      </c>
      <c r="O642" s="891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e">
        <f>IF(OR(TH!#REF!=TH!$W$7,M642=TH!$W$7),"x","")</f>
        <v>#REF!</v>
      </c>
      <c r="X642" s="51" t="str">
        <f>IF(AND(B642&gt;='IN-NX'!$P$3,B642&lt;='IN-NX'!$Q$3,'IN-NX'!$D$7=D642,OR(LEFT(L642,2)="15",AND(LEFT(M642,2)&lt;&gt;"15",LEFT(M642,2)&lt;&gt;"33"))),"x","")</f>
        <v/>
      </c>
      <c r="Y642" s="51" t="e">
        <f>IF(AND(OR(LEFT(TH!#REF!,2)="15",LEFT(TH!#REF!,2)="15"),'152-CT'!$J$8=TH!#REF!),"x","")</f>
        <v>#REF!</v>
      </c>
      <c r="Z642" s="51" t="e">
        <f>IF(AND(OR(LEFT(TH!#REF!,2)="15",LEFT(TH!#REF!,2)="15"),TK!$E$7=TH!#REF!),"x","")</f>
        <v>#REF!</v>
      </c>
      <c r="AA642" s="51" t="str">
        <f>IF(AND(B642&lt;=NKC!$N$8,B642&gt;=NKC!$M$8),"x","")</f>
        <v/>
      </c>
      <c r="AB642" s="923"/>
      <c r="AC642" s="589"/>
      <c r="AD642" s="589"/>
    </row>
    <row r="643" spans="1:33" s="210" customFormat="1" ht="15.75" hidden="1" customHeight="1">
      <c r="A643" s="203" t="str">
        <f>IF(B643&lt;&gt;"",IF(AND(B643&gt;=_TM1,B643&lt;=_TM2,OR(TH!L643="1111",TH!M643="1111")),TH!D643,""),"")</f>
        <v/>
      </c>
      <c r="B643" s="36" t="str">
        <f t="shared" si="40"/>
        <v/>
      </c>
      <c r="C643" s="183"/>
      <c r="D643" s="190"/>
      <c r="E643" s="190"/>
      <c r="F643" s="191"/>
      <c r="G643" s="481"/>
      <c r="H643" s="7"/>
      <c r="I643" s="255"/>
      <c r="J643" s="255"/>
      <c r="K643" s="37"/>
      <c r="L643" s="193"/>
      <c r="M643" s="193"/>
      <c r="N643" s="51" t="str">
        <f>IF(AND('331-CT'!$E$7=TH!H731,OR(L643="331",M643="331")),"331",IF(AND(OR(L643="131",M643="131"),H643='131-CT'!$E$7),"131",""))</f>
        <v/>
      </c>
      <c r="O643" s="891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IF(OR(TH!L731=TH!$W$7,M643=TH!$W$7),"x","")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IF(AND(OR(LEFT(TH!L731,2)="15",LEFT(TH!M731,2)="15"),'152-CT'!$J$8=TH!F731),"x","")</f>
        <v/>
      </c>
      <c r="Z643" s="51" t="str">
        <f>IF(AND(OR(LEFT(TH!L731,2)="15",LEFT(TH!M731,2)="15"),TK!$E$7=TH!F731),"x","")</f>
        <v/>
      </c>
      <c r="AA643" s="51" t="str">
        <f>IF(AND(B643&lt;=NKC!$N$8,B643&gt;=NKC!$M$8),"x","")</f>
        <v/>
      </c>
      <c r="AB643" s="923"/>
      <c r="AC643" s="589"/>
      <c r="AD643" s="589"/>
    </row>
    <row r="644" spans="1:33" s="210" customFormat="1" ht="15.75" hidden="1" customHeight="1">
      <c r="A644" s="203" t="str">
        <f>IF(B644&lt;&gt;"",IF(AND(B644&gt;=_TM1,B644&lt;=_TM2,OR(TH!L644="1111",TH!M644="1111")),TH!D644,""),"")</f>
        <v/>
      </c>
      <c r="B644" s="36" t="str">
        <f t="shared" si="40"/>
        <v/>
      </c>
      <c r="C644" s="183"/>
      <c r="D644" s="190"/>
      <c r="E644" s="190"/>
      <c r="F644" s="191"/>
      <c r="G644" s="481"/>
      <c r="H644" s="7"/>
      <c r="I644" s="255"/>
      <c r="J644" s="255"/>
      <c r="K644" s="37"/>
      <c r="L644" s="193"/>
      <c r="M644" s="193"/>
      <c r="N644" s="51" t="str">
        <f>IF(AND('331-CT'!$E$7=TH!H732,OR(L644="331",M644="331")),"331",IF(AND(OR(L644="131",M644="131"),H644='131-CT'!$E$7),"131",""))</f>
        <v/>
      </c>
      <c r="O644" s="891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IF(OR(TH!L732=TH!$W$7,M644=TH!$W$7),"x","")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IF(AND(OR(LEFT(TH!L732,2)="15",LEFT(TH!M732,2)="15"),'152-CT'!$J$8=TH!F732),"x","")</f>
        <v/>
      </c>
      <c r="Z644" s="51" t="str">
        <f>IF(AND(OR(LEFT(TH!L732,2)="15",LEFT(TH!M732,2)="15"),TK!$E$7=TH!F732),"x","")</f>
        <v/>
      </c>
      <c r="AA644" s="51" t="str">
        <f>IF(AND(B644&lt;=NKC!$N$8,B644&gt;=NKC!$M$8),"x","")</f>
        <v/>
      </c>
      <c r="AB644" s="923"/>
      <c r="AC644" s="589"/>
      <c r="AD644" s="589"/>
    </row>
    <row r="645" spans="1:33" s="210" customFormat="1" ht="15.75" hidden="1" customHeight="1">
      <c r="A645" s="203" t="str">
        <f>IF(B645&lt;&gt;"",IF(AND(B645&gt;=_TM1,B645&lt;=_TM2,OR(TH!L645="1111",TH!M645="1111")),TH!D645,""),"")</f>
        <v/>
      </c>
      <c r="B645" s="36" t="str">
        <f t="shared" ref="B645:B708" si="41">IF(C645&lt;&gt;"",MONTH(C645),"")</f>
        <v/>
      </c>
      <c r="C645" s="183"/>
      <c r="D645" s="190"/>
      <c r="E645" s="190"/>
      <c r="F645" s="191"/>
      <c r="G645" s="481"/>
      <c r="H645" s="7"/>
      <c r="I645" s="255"/>
      <c r="J645" s="255"/>
      <c r="K645" s="37"/>
      <c r="L645" s="193"/>
      <c r="M645" s="193"/>
      <c r="N645" s="51" t="e">
        <f>IF(AND('331-CT'!$E$7=TH!#REF!,OR(L645="331",M645="331")),"331",IF(AND(OR(L645="131",M645="131"),H645='131-CT'!$E$7),"131",""))</f>
        <v>#REF!</v>
      </c>
      <c r="O645" s="891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e">
        <f>IF(OR(TH!#REF!=TH!$W$7,M645=TH!$W$7),"x","")</f>
        <v>#REF!</v>
      </c>
      <c r="X645" s="51" t="str">
        <f>IF(AND(B645&gt;='IN-NX'!$P$3,B645&lt;='IN-NX'!$Q$3,'IN-NX'!$D$7=D645,OR(LEFT(L645,2)="15",AND(LEFT(M645,2)&lt;&gt;"15",LEFT(M645,2)&lt;&gt;"33"))),"x","")</f>
        <v/>
      </c>
      <c r="Y645" s="51" t="e">
        <f>IF(AND(OR(LEFT(TH!#REF!,2)="15",LEFT(TH!#REF!,2)="15"),'152-CT'!$J$8=TH!#REF!),"x","")</f>
        <v>#REF!</v>
      </c>
      <c r="Z645" s="51" t="e">
        <f>IF(AND(OR(LEFT(TH!#REF!,2)="15",LEFT(TH!#REF!,2)="15"),TK!$E$7=TH!#REF!),"x","")</f>
        <v>#REF!</v>
      </c>
      <c r="AA645" s="51" t="str">
        <f>IF(AND(B645&lt;=NKC!$N$8,B645&gt;=NKC!$M$8),"x","")</f>
        <v/>
      </c>
      <c r="AB645" s="923"/>
      <c r="AC645" s="589"/>
      <c r="AD645" s="589"/>
    </row>
    <row r="646" spans="1:33" s="210" customFormat="1" ht="15.75" hidden="1" customHeight="1">
      <c r="A646" s="203" t="str">
        <f>IF(B646&lt;&gt;"",IF(AND(B646&gt;=_TM1,B646&lt;=_TM2,OR(TH!L646="1111",TH!M646="1111")),TH!D646,""),"")</f>
        <v/>
      </c>
      <c r="B646" s="36" t="str">
        <f t="shared" si="41"/>
        <v/>
      </c>
      <c r="C646" s="183"/>
      <c r="D646" s="190"/>
      <c r="E646" s="190"/>
      <c r="F646" s="191"/>
      <c r="G646" s="481"/>
      <c r="H646" s="7"/>
      <c r="I646" s="255"/>
      <c r="J646" s="255"/>
      <c r="K646" s="37"/>
      <c r="L646" s="193"/>
      <c r="M646" s="193"/>
      <c r="N646" s="51" t="e">
        <f>IF(AND('331-CT'!$E$7=TH!#REF!,OR(L646="331",M646="331")),"331",IF(AND(OR(L646="131",M646="131"),H646='131-CT'!$E$7),"131",""))</f>
        <v>#REF!</v>
      </c>
      <c r="O646" s="891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e">
        <f>IF(OR(TH!#REF!=TH!$W$7,M646=TH!$W$7),"x","")</f>
        <v>#REF!</v>
      </c>
      <c r="X646" s="51" t="str">
        <f>IF(AND(B646&gt;='IN-NX'!$P$3,B646&lt;='IN-NX'!$Q$3,'IN-NX'!$D$7=D646,OR(LEFT(L646,2)="15",AND(LEFT(M646,2)&lt;&gt;"15",LEFT(M646,2)&lt;&gt;"33"))),"x","")</f>
        <v/>
      </c>
      <c r="Y646" s="51" t="e">
        <f>IF(AND(OR(LEFT(TH!#REF!,2)="15",LEFT(TH!#REF!,2)="15"),'152-CT'!$J$8=TH!#REF!),"x","")</f>
        <v>#REF!</v>
      </c>
      <c r="Z646" s="51" t="e">
        <f>IF(AND(OR(LEFT(TH!#REF!,2)="15",LEFT(TH!#REF!,2)="15"),TK!$E$7=TH!#REF!),"x","")</f>
        <v>#REF!</v>
      </c>
      <c r="AA646" s="51" t="str">
        <f>IF(AND(B646&lt;=NKC!$N$8,B646&gt;=NKC!$M$8),"x","")</f>
        <v/>
      </c>
      <c r="AB646" s="923"/>
      <c r="AC646" s="589"/>
      <c r="AD646" s="589"/>
    </row>
    <row r="647" spans="1:33" s="210" customFormat="1" ht="15.75" hidden="1" customHeight="1">
      <c r="A647" s="203" t="str">
        <f>IF(B647&lt;&gt;"",IF(AND(B647&gt;=_TM1,B647&lt;=_TM2,OR(TH!L647="1111",TH!M647="1111")),TH!D647,""),"")</f>
        <v/>
      </c>
      <c r="B647" s="36" t="str">
        <f t="shared" si="41"/>
        <v/>
      </c>
      <c r="C647" s="183"/>
      <c r="D647" s="190"/>
      <c r="E647" s="190"/>
      <c r="F647" s="296"/>
      <c r="G647" s="481"/>
      <c r="H647" s="7"/>
      <c r="I647" s="255"/>
      <c r="J647" s="255"/>
      <c r="K647" s="37"/>
      <c r="L647" s="193"/>
      <c r="M647" s="193"/>
      <c r="N647" s="51" t="e">
        <f>IF(AND('331-CT'!$E$7=TH!#REF!,OR(L647="331",M647="331")),"331",IF(AND(OR(L647="131",M647="131"),H647='131-CT'!$E$7),"131",""))</f>
        <v>#REF!</v>
      </c>
      <c r="O647" s="891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e">
        <f>IF(OR(TH!#REF!=TH!$W$7,M647=TH!$W$7),"x","")</f>
        <v>#REF!</v>
      </c>
      <c r="X647" s="51" t="str">
        <f>IF(AND(B647&gt;='IN-NX'!$P$3,B647&lt;='IN-NX'!$Q$3,'IN-NX'!$D$7=D647,OR(LEFT(L647,2)="15",AND(LEFT(M647,2)&lt;&gt;"15",LEFT(M647,2)&lt;&gt;"33"))),"x","")</f>
        <v/>
      </c>
      <c r="Y647" s="51" t="e">
        <f>IF(AND(OR(LEFT(TH!#REF!,2)="15",LEFT(TH!#REF!,2)="15"),'152-CT'!$J$8=TH!#REF!),"x","")</f>
        <v>#REF!</v>
      </c>
      <c r="Z647" s="51" t="e">
        <f>IF(AND(OR(LEFT(TH!#REF!,2)="15",LEFT(TH!#REF!,2)="15"),TK!$E$7=TH!#REF!),"x","")</f>
        <v>#REF!</v>
      </c>
      <c r="AA647" s="51" t="str">
        <f>IF(AND(B647&lt;=NKC!$N$8,B647&gt;=NKC!$M$8),"x","")</f>
        <v/>
      </c>
      <c r="AB647" s="923"/>
      <c r="AC647" s="589"/>
    </row>
    <row r="648" spans="1:33" s="210" customFormat="1" ht="15.75" hidden="1" customHeight="1">
      <c r="A648" s="203" t="str">
        <f>IF(B648&lt;&gt;"",IF(AND(B648&gt;=_TM1,B648&lt;=_TM2,OR(TH!L648="1111",TH!M648="1111")),TH!D648,""),"")</f>
        <v/>
      </c>
      <c r="B648" s="36" t="str">
        <f t="shared" si="41"/>
        <v/>
      </c>
      <c r="C648" s="183"/>
      <c r="D648" s="190"/>
      <c r="E648" s="190"/>
      <c r="F648" s="296"/>
      <c r="G648" s="481"/>
      <c r="H648" s="7"/>
      <c r="I648" s="786"/>
      <c r="J648" s="255"/>
      <c r="K648" s="37"/>
      <c r="L648" s="193"/>
      <c r="M648" s="193"/>
      <c r="N648" s="51" t="str">
        <f>IF(AND('331-CT'!$E$7=TH!H733,OR(L648="331",M648="331")),"331",IF(AND(OR(L648="131",M648="131"),H648='131-CT'!$E$7),"131",""))</f>
        <v/>
      </c>
      <c r="O648" s="891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IF(OR(TH!L733=TH!$W$7,M648=TH!$W$7),"x","")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IF(AND(OR(LEFT(TH!L733,2)="15",LEFT(TH!M733,2)="15"),'152-CT'!$J$8=TH!F733),"x","")</f>
        <v/>
      </c>
      <c r="Z648" s="51" t="str">
        <f>IF(AND(OR(LEFT(TH!L733,2)="15",LEFT(TH!M733,2)="15"),TK!$E$7=TH!F733),"x","")</f>
        <v/>
      </c>
      <c r="AA648" s="51" t="str">
        <f>IF(AND(B648&lt;=NKC!$N$8,B648&gt;=NKC!$M$8),"x","")</f>
        <v/>
      </c>
      <c r="AB648" s="923"/>
      <c r="AC648" s="589"/>
      <c r="AD648" s="589"/>
    </row>
    <row r="649" spans="1:33" s="210" customFormat="1" ht="15.75" hidden="1" customHeight="1">
      <c r="A649" s="203" t="str">
        <f>IF(B649&lt;&gt;"",IF(AND(B649&gt;=_TM1,B649&lt;=_TM2,OR(TH!L649="1111",TH!M649="1111")),TH!D649,""),"")</f>
        <v/>
      </c>
      <c r="B649" s="853" t="str">
        <f t="shared" si="41"/>
        <v/>
      </c>
      <c r="C649" s="854"/>
      <c r="D649" s="190"/>
      <c r="E649" s="190"/>
      <c r="F649" s="188"/>
      <c r="G649" s="481"/>
      <c r="H649" s="7"/>
      <c r="I649" s="258"/>
      <c r="J649" s="258"/>
      <c r="K649" s="37"/>
      <c r="L649" s="193"/>
      <c r="M649" s="193"/>
      <c r="N649" s="51" t="e">
        <f>IF(AND('331-CT'!$E$7=TH!#REF!,OR(L649="331",M649="331")),"331",IF(AND(OR(L649="131",M649="131"),H649='131-CT'!$E$7),"131",""))</f>
        <v>#REF!</v>
      </c>
      <c r="O649" s="891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e">
        <f>IF(OR(TH!#REF!=TH!$W$7,M649=TH!$W$7),"x","")</f>
        <v>#REF!</v>
      </c>
      <c r="X649" s="51" t="str">
        <f>IF(AND(B649&gt;='IN-NX'!$P$3,B649&lt;='IN-NX'!$Q$3,'IN-NX'!$D$7=D649,OR(LEFT(L649,2)="15",AND(LEFT(M649,2)&lt;&gt;"15",LEFT(M649,2)&lt;&gt;"33"))),"x","")</f>
        <v/>
      </c>
      <c r="Y649" s="51" t="e">
        <f>IF(AND(OR(LEFT(TH!#REF!,2)="15",LEFT(TH!#REF!,2)="15"),'152-CT'!$J$8=TH!#REF!),"x","")</f>
        <v>#REF!</v>
      </c>
      <c r="Z649" s="51" t="e">
        <f>IF(AND(OR(LEFT(TH!#REF!,2)="15",LEFT(TH!#REF!,2)="15"),TK!$E$7=TH!#REF!),"x","")</f>
        <v>#REF!</v>
      </c>
      <c r="AA649" s="51" t="str">
        <f>IF(AND(B649&lt;=NKC!$N$8,B649&gt;=NKC!$M$8),"x","")</f>
        <v/>
      </c>
      <c r="AB649" s="923"/>
      <c r="AC649" s="861"/>
      <c r="AD649" s="862"/>
      <c r="AE649" s="862"/>
      <c r="AF649" s="862"/>
      <c r="AG649" s="863">
        <f>AE649-K649</f>
        <v>0</v>
      </c>
    </row>
    <row r="650" spans="1:33" s="210" customFormat="1" ht="15.75" hidden="1" customHeight="1">
      <c r="A650" s="203" t="str">
        <f>IF(B650&lt;&gt;"",IF(AND(B650&gt;=_TM1,B650&lt;=_TM2,OR(TH!L650="1111",TH!M650="1111")),TH!D650,""),"")</f>
        <v/>
      </c>
      <c r="B650" s="36" t="str">
        <f t="shared" si="41"/>
        <v/>
      </c>
      <c r="C650" s="183"/>
      <c r="D650" s="190"/>
      <c r="E650" s="190"/>
      <c r="F650" s="188"/>
      <c r="G650" s="481"/>
      <c r="H650" s="7"/>
      <c r="I650" s="258"/>
      <c r="J650" s="258"/>
      <c r="K650" s="597"/>
      <c r="L650" s="193"/>
      <c r="M650" s="193"/>
      <c r="N650" s="51" t="e">
        <f>IF(AND('331-CT'!$E$7=TH!#REF!,OR(L650="331",M650="331")),"331",IF(AND(OR(L650="131",M650="131"),H650='131-CT'!$E$7),"131",""))</f>
        <v>#REF!</v>
      </c>
      <c r="O650" s="891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e">
        <f>IF(OR(TH!#REF!=TH!$W$7,M650=TH!$W$7),"x","")</f>
        <v>#REF!</v>
      </c>
      <c r="X650" s="51" t="str">
        <f>IF(AND(B650&gt;='IN-NX'!$P$3,B650&lt;='IN-NX'!$Q$3,'IN-NX'!$D$7=D650,OR(LEFT(L650,2)="15",AND(LEFT(M650,2)&lt;&gt;"15",LEFT(M650,2)&lt;&gt;"33"))),"x","")</f>
        <v/>
      </c>
      <c r="Y650" s="51" t="e">
        <f>IF(AND(OR(LEFT(TH!#REF!,2)="15",LEFT(TH!#REF!,2)="15"),'152-CT'!$J$8=TH!#REF!),"x","")</f>
        <v>#REF!</v>
      </c>
      <c r="Z650" s="51" t="e">
        <f>IF(AND(OR(LEFT(TH!#REF!,2)="15",LEFT(TH!#REF!,2)="15"),TK!$E$7=TH!#REF!),"x","")</f>
        <v>#REF!</v>
      </c>
      <c r="AA650" s="51" t="str">
        <f>IF(AND(B650&lt;=NKC!$N$8,B650&gt;=NKC!$M$8),"x","")</f>
        <v/>
      </c>
      <c r="AB650" s="923"/>
      <c r="AC650" s="589"/>
      <c r="AD650" s="589"/>
    </row>
    <row r="651" spans="1:33" s="210" customFormat="1" ht="15.75" hidden="1" customHeight="1">
      <c r="A651" s="203" t="str">
        <f>IF(B651&lt;&gt;"",IF(AND(B651&gt;=_TM1,B651&lt;=_TM2,OR(TH!L651="1111",TH!M651="1111")),TH!D651,""),"")</f>
        <v/>
      </c>
      <c r="B651" s="36" t="str">
        <f t="shared" si="41"/>
        <v/>
      </c>
      <c r="C651" s="183"/>
      <c r="D651" s="190"/>
      <c r="E651" s="190"/>
      <c r="F651" s="191"/>
      <c r="G651" s="479"/>
      <c r="H651" s="44"/>
      <c r="I651" s="255"/>
      <c r="J651" s="255"/>
      <c r="K651" s="37"/>
      <c r="L651" s="193"/>
      <c r="M651" s="598"/>
      <c r="N651" s="51" t="str">
        <f>IF(AND('331-CT'!$E$7=TH!H338,OR(L651="331",M651="331")),"331",IF(AND(OR(L651="131",M651="131"),H651='131-CT'!$E$7),"131",""))</f>
        <v/>
      </c>
      <c r="O651" s="891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IF(OR(TH!L338=TH!$W$7,M651=TH!$W$7),"x","")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IF(AND(OR(LEFT(TH!L338,2)="15",LEFT(TH!M338,2)="15"),'152-CT'!$J$8=TH!F338),"x","")</f>
        <v/>
      </c>
      <c r="Z651" s="51" t="str">
        <f>IF(AND(OR(LEFT(TH!L338,2)="15",LEFT(TH!M338,2)="15"),TK!$E$7=TH!F338),"x","")</f>
        <v/>
      </c>
      <c r="AA651" s="51" t="str">
        <f>IF(AND(B651&lt;=NKC!$N$8,B651&gt;=NKC!$M$8),"x","")</f>
        <v/>
      </c>
      <c r="AB651" s="923"/>
      <c r="AC651" s="589"/>
      <c r="AF651" s="589"/>
      <c r="AG651" s="589"/>
    </row>
    <row r="652" spans="1:33" s="210" customFormat="1" ht="15.75" hidden="1" customHeight="1">
      <c r="A652" s="203" t="str">
        <f>IF(B652&lt;&gt;"",IF(AND(B652&gt;=_TM1,B652&lt;=_TM2,OR(TH!L652="1111",TH!M652="1111")),TH!D652,""),"")</f>
        <v/>
      </c>
      <c r="B652" s="36" t="str">
        <f t="shared" si="41"/>
        <v/>
      </c>
      <c r="C652" s="183"/>
      <c r="D652" s="190"/>
      <c r="E652" s="190"/>
      <c r="F652" s="191"/>
      <c r="G652" s="479"/>
      <c r="H652" s="44"/>
      <c r="I652" s="255"/>
      <c r="J652" s="255"/>
      <c r="K652" s="37"/>
      <c r="L652" s="193"/>
      <c r="M652" s="598"/>
      <c r="N652" s="51" t="str">
        <f>IF(AND('331-CT'!$E$7=TH!H339,OR(L652="331",M652="331")),"331",IF(AND(OR(L652="131",M652="131"),H652='131-CT'!$E$7),"131",""))</f>
        <v/>
      </c>
      <c r="O652" s="891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IF(OR(TH!L339=TH!$W$7,M652=TH!$W$7),"x","")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IF(AND(OR(LEFT(TH!L339,2)="15",LEFT(TH!M339,2)="15"),'152-CT'!$J$8=TH!F339),"x","")</f>
        <v/>
      </c>
      <c r="Z652" s="51" t="str">
        <f>IF(AND(OR(LEFT(TH!L339,2)="15",LEFT(TH!M339,2)="15"),TK!$E$7=TH!F339),"x","")</f>
        <v/>
      </c>
      <c r="AA652" s="51" t="str">
        <f>IF(AND(B652&lt;=NKC!$N$8,B652&gt;=NKC!$M$8),"x","")</f>
        <v/>
      </c>
      <c r="AB652" s="923"/>
      <c r="AC652" s="589"/>
      <c r="AD652" s="589"/>
      <c r="AF652" s="589"/>
      <c r="AG652" s="589"/>
    </row>
    <row r="653" spans="1:33" s="210" customFormat="1" ht="15.75" hidden="1" customHeight="1">
      <c r="A653" s="203" t="str">
        <f>IF(B653&lt;&gt;"",IF(AND(B653&gt;=_TM1,B653&lt;=_TM2,OR(TH!L653="1111",TH!M653="1111")),TH!D653,""),"")</f>
        <v/>
      </c>
      <c r="B653" s="36" t="str">
        <f t="shared" si="41"/>
        <v/>
      </c>
      <c r="C653" s="183"/>
      <c r="D653" s="190"/>
      <c r="E653" s="190"/>
      <c r="F653" s="188"/>
      <c r="G653" s="481"/>
      <c r="H653" s="192"/>
      <c r="I653" s="255"/>
      <c r="J653" s="255"/>
      <c r="K653" s="37"/>
      <c r="L653" s="193"/>
      <c r="M653" s="193"/>
      <c r="N653" s="51" t="e">
        <f>IF(AND('331-CT'!$E$7=TH!#REF!,OR(L653="331",M653="331")),"331",IF(AND(OR(L653="131",M653="131"),H653='131-CT'!$E$7),"131",""))</f>
        <v>#REF!</v>
      </c>
      <c r="O653" s="891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e">
        <f>IF(OR(TH!#REF!=TH!$W$7,M653=TH!$W$7),"x","")</f>
        <v>#REF!</v>
      </c>
      <c r="X653" s="51" t="str">
        <f>IF(AND(B653&gt;='IN-NX'!$P$3,B653&lt;='IN-NX'!$Q$3,'IN-NX'!$D$7=D653,OR(LEFT(L653,2)="15",AND(LEFT(M653,2)&lt;&gt;"15",LEFT(M653,2)&lt;&gt;"33"))),"x","")</f>
        <v/>
      </c>
      <c r="Y653" s="51" t="e">
        <f>IF(AND(OR(LEFT(TH!#REF!,2)="15",LEFT(TH!#REF!,2)="15"),'152-CT'!$J$8=TH!#REF!),"x","")</f>
        <v>#REF!</v>
      </c>
      <c r="Z653" s="51" t="e">
        <f>IF(AND(OR(LEFT(TH!#REF!,2)="15",LEFT(TH!#REF!,2)="15"),TK!$E$7=TH!#REF!),"x","")</f>
        <v>#REF!</v>
      </c>
      <c r="AA653" s="51" t="str">
        <f>IF(AND(B653&lt;=NKC!$N$8,B653&gt;=NKC!$M$8),"x","")</f>
        <v/>
      </c>
      <c r="AB653" s="923"/>
      <c r="AC653" s="589"/>
      <c r="AD653" s="589"/>
    </row>
    <row r="654" spans="1:33" s="210" customFormat="1" ht="15.75" hidden="1" customHeight="1">
      <c r="A654" s="203" t="str">
        <f>IF(B654&lt;&gt;"",IF(AND(B654&gt;=_TM1,B654&lt;=_TM2,OR(TH!L654="1111",TH!M654="1111")),TH!D654,""),"")</f>
        <v/>
      </c>
      <c r="B654" s="36" t="str">
        <f t="shared" si="41"/>
        <v/>
      </c>
      <c r="C654" s="183"/>
      <c r="D654" s="190"/>
      <c r="E654" s="190"/>
      <c r="F654" s="191"/>
      <c r="G654" s="481"/>
      <c r="H654" s="7"/>
      <c r="I654" s="256"/>
      <c r="J654" s="256"/>
      <c r="K654" s="597"/>
      <c r="L654" s="193"/>
      <c r="M654" s="193"/>
      <c r="N654" s="51" t="e">
        <f>IF(AND('331-CT'!$E$7=TH!#REF!,OR(L654="331",M654="331")),"331",IF(AND(OR(L654="131",M654="131"),H654='131-CT'!$E$7),"131",""))</f>
        <v>#REF!</v>
      </c>
      <c r="O654" s="891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e">
        <f>IF(OR(TH!#REF!=TH!$W$7,M654=TH!$W$7),"x","")</f>
        <v>#REF!</v>
      </c>
      <c r="X654" s="51" t="str">
        <f>IF(AND(B654&gt;='IN-NX'!$P$3,B654&lt;='IN-NX'!$Q$3,'IN-NX'!$D$7=D654,OR(LEFT(L654,2)="15",AND(LEFT(M654,2)&lt;&gt;"15",LEFT(M654,2)&lt;&gt;"33"))),"x","")</f>
        <v/>
      </c>
      <c r="Y654" s="51" t="e">
        <f>IF(AND(OR(LEFT(TH!#REF!,2)="15",LEFT(TH!#REF!,2)="15"),'152-CT'!$J$8=TH!#REF!),"x","")</f>
        <v>#REF!</v>
      </c>
      <c r="Z654" s="51" t="e">
        <f>IF(AND(OR(LEFT(TH!#REF!,2)="15",LEFT(TH!#REF!,2)="15"),TK!$E$7=TH!#REF!),"x","")</f>
        <v>#REF!</v>
      </c>
      <c r="AA654" s="51" t="str">
        <f>IF(AND(B654&lt;=NKC!$N$8,B654&gt;=NKC!$M$8),"x","")</f>
        <v/>
      </c>
      <c r="AB654" s="923"/>
      <c r="AC654" s="589"/>
      <c r="AD654" s="589"/>
    </row>
    <row r="655" spans="1:33" s="210" customFormat="1" ht="15.75" hidden="1" customHeight="1">
      <c r="A655" s="203" t="str">
        <f>IF(B655&lt;&gt;"",IF(AND(B655&gt;=_TM1,B655&lt;=_TM2,OR(TH!L655="1111",TH!M655="1111")),TH!D655,""),"")</f>
        <v/>
      </c>
      <c r="B655" s="36" t="str">
        <f t="shared" si="41"/>
        <v/>
      </c>
      <c r="C655" s="183"/>
      <c r="D655" s="190"/>
      <c r="E655" s="190"/>
      <c r="F655" s="191"/>
      <c r="G655" s="481"/>
      <c r="H655" s="7"/>
      <c r="I655" s="255"/>
      <c r="J655" s="255"/>
      <c r="K655" s="37"/>
      <c r="L655" s="193"/>
      <c r="M655" s="193"/>
      <c r="N655" s="51" t="e">
        <f>IF(AND('331-CT'!$E$7=TH!#REF!,OR(L655="331",M655="331")),"331",IF(AND(OR(L655="131",M655="131"),H655='131-CT'!$E$7),"131",""))</f>
        <v>#REF!</v>
      </c>
      <c r="O655" s="891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e">
        <f>IF(OR(TH!#REF!=TH!$W$7,M655=TH!$W$7),"x","")</f>
        <v>#REF!</v>
      </c>
      <c r="X655" s="51" t="str">
        <f>IF(AND(B655&gt;='IN-NX'!$P$3,B655&lt;='IN-NX'!$Q$3,'IN-NX'!$D$7=D655,OR(LEFT(L655,2)="15",AND(LEFT(M655,2)&lt;&gt;"15",LEFT(M655,2)&lt;&gt;"33"))),"x","")</f>
        <v/>
      </c>
      <c r="Y655" s="51" t="e">
        <f>IF(AND(OR(LEFT(TH!#REF!,2)="15",LEFT(TH!#REF!,2)="15"),'152-CT'!$J$8=TH!#REF!),"x","")</f>
        <v>#REF!</v>
      </c>
      <c r="Z655" s="51" t="e">
        <f>IF(AND(OR(LEFT(TH!#REF!,2)="15",LEFT(TH!#REF!,2)="15"),TK!$E$7=TH!#REF!),"x","")</f>
        <v>#REF!</v>
      </c>
      <c r="AA655" s="51" t="str">
        <f>IF(AND(B655&lt;=NKC!$N$8,B655&gt;=NKC!$M$8),"x","")</f>
        <v/>
      </c>
      <c r="AB655" s="923"/>
      <c r="AC655" s="589"/>
      <c r="AE655" s="589"/>
    </row>
    <row r="656" spans="1:33" s="210" customFormat="1" ht="15.75" hidden="1" customHeight="1">
      <c r="A656" s="203" t="str">
        <f>IF(B656&lt;&gt;"",IF(AND(B656&gt;=_TM1,B656&lt;=_TM2,OR(TH!L656="1111",TH!M656="1111")),TH!D656,""),"")</f>
        <v/>
      </c>
      <c r="B656" s="36" t="str">
        <f t="shared" si="41"/>
        <v/>
      </c>
      <c r="C656" s="183"/>
      <c r="D656" s="190"/>
      <c r="E656" s="190"/>
      <c r="F656" s="191"/>
      <c r="G656" s="481"/>
      <c r="H656" s="7"/>
      <c r="I656" s="255"/>
      <c r="J656" s="255"/>
      <c r="K656" s="597"/>
      <c r="L656" s="193"/>
      <c r="M656" s="193"/>
      <c r="N656" s="51" t="str">
        <f>IF(AND('331-CT'!$E$7=TH!H734,OR(L656="331",M656="331")),"331",IF(AND(OR(L656="131",M656="131"),H656='131-CT'!$E$7),"131",""))</f>
        <v/>
      </c>
      <c r="O656" s="891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IF(OR(TH!L734=TH!$W$7,M656=TH!$W$7),"x","")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IF(AND(OR(LEFT(TH!L734,2)="15",LEFT(TH!M734,2)="15"),'152-CT'!$J$8=TH!F734),"x","")</f>
        <v/>
      </c>
      <c r="Z656" s="51" t="str">
        <f>IF(AND(OR(LEFT(TH!L734,2)="15",LEFT(TH!M734,2)="15"),TK!$E$7=TH!F734),"x","")</f>
        <v/>
      </c>
      <c r="AA656" s="51" t="str">
        <f>IF(AND(B656&lt;=NKC!$N$8,B656&gt;=NKC!$M$8),"x","")</f>
        <v/>
      </c>
      <c r="AB656" s="923"/>
      <c r="AC656" s="589"/>
      <c r="AD656" s="589"/>
      <c r="AE656" s="589"/>
    </row>
    <row r="657" spans="1:33" s="210" customFormat="1" ht="15.75" hidden="1" customHeight="1">
      <c r="A657" s="203" t="str">
        <f>IF(B657&lt;&gt;"",IF(AND(B657&gt;=_TM1,B657&lt;=_TM2,OR(TH!L657="1111",TH!M657="1111")),TH!D657,""),"")</f>
        <v/>
      </c>
      <c r="B657" s="36" t="str">
        <f t="shared" si="41"/>
        <v/>
      </c>
      <c r="C657" s="183"/>
      <c r="D657" s="190"/>
      <c r="E657" s="190"/>
      <c r="F657" s="188"/>
      <c r="G657" s="481"/>
      <c r="H657" s="7"/>
      <c r="I657" s="255"/>
      <c r="J657" s="255"/>
      <c r="K657" s="37"/>
      <c r="L657" s="193"/>
      <c r="M657" s="193"/>
      <c r="N657" s="51" t="str">
        <f>IF(AND('331-CT'!$E$7=TH!H735,OR(L657="331",M657="331")),"331",IF(AND(OR(L657="131",M657="131"),H657='131-CT'!$E$7),"131",""))</f>
        <v/>
      </c>
      <c r="O657" s="891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IF(OR(TH!L735=TH!$W$7,M657=TH!$W$7),"x","")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IF(AND(OR(LEFT(TH!L735,2)="15",LEFT(TH!M735,2)="15"),'152-CT'!$J$8=TH!F735),"x","")</f>
        <v/>
      </c>
      <c r="Z657" s="51" t="str">
        <f>IF(AND(OR(LEFT(TH!L735,2)="15",LEFT(TH!M735,2)="15"),TK!$E$7=TH!F735),"x","")</f>
        <v/>
      </c>
      <c r="AA657" s="51" t="str">
        <f>IF(AND(B657&lt;=NKC!$N$8,B657&gt;=NKC!$M$8),"x","")</f>
        <v/>
      </c>
      <c r="AB657" s="923"/>
      <c r="AC657" s="589"/>
      <c r="AD657" s="589"/>
      <c r="AE657" s="589"/>
    </row>
    <row r="658" spans="1:33" s="210" customFormat="1" ht="15.75" hidden="1" customHeight="1">
      <c r="A658" s="203" t="str">
        <f>IF(B658&lt;&gt;"",IF(AND(B658&gt;=_TM1,B658&lt;=_TM2,OR(TH!L658="1111",TH!M658="1111")),TH!D658,""),"")</f>
        <v/>
      </c>
      <c r="B658" s="36" t="str">
        <f t="shared" si="41"/>
        <v/>
      </c>
      <c r="C658" s="183"/>
      <c r="D658" s="190"/>
      <c r="E658" s="190"/>
      <c r="F658" s="188"/>
      <c r="G658" s="599"/>
      <c r="H658" s="7"/>
      <c r="I658" s="255"/>
      <c r="J658" s="255"/>
      <c r="K658" s="37"/>
      <c r="L658" s="193"/>
      <c r="M658" s="193"/>
      <c r="N658" s="51" t="str">
        <f>IF(AND('331-CT'!$E$7=TH!H736,OR(L658="331",M658="331")),"331",IF(AND(OR(L658="131",M658="131"),H658='131-CT'!$E$7),"131",""))</f>
        <v/>
      </c>
      <c r="O658" s="891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IF(OR(TH!L736=TH!$W$7,M658=TH!$W$7),"x","")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IF(AND(OR(LEFT(TH!L736,2)="15",LEFT(TH!M736,2)="15"),'152-CT'!$J$8=TH!F736),"x","")</f>
        <v/>
      </c>
      <c r="Z658" s="51" t="str">
        <f>IF(AND(OR(LEFT(TH!L736,2)="15",LEFT(TH!M736,2)="15"),TK!$E$7=TH!F736),"x","")</f>
        <v/>
      </c>
      <c r="AA658" s="51" t="str">
        <f>IF(AND(B658&lt;=NKC!$N$8,B658&gt;=NKC!$M$8),"x","")</f>
        <v/>
      </c>
      <c r="AB658" s="923"/>
      <c r="AC658" s="589"/>
    </row>
    <row r="659" spans="1:33" s="210" customFormat="1" ht="15.75" hidden="1" customHeight="1">
      <c r="A659" s="203" t="str">
        <f>IF(B659&lt;&gt;"",IF(AND(B659&gt;=_TM1,B659&lt;=_TM2,OR(TH!L659="1111",TH!M659="1111")),TH!D659,""),"")</f>
        <v/>
      </c>
      <c r="B659" s="36" t="str">
        <f t="shared" si="41"/>
        <v/>
      </c>
      <c r="C659" s="183"/>
      <c r="D659" s="190"/>
      <c r="E659" s="190"/>
      <c r="F659" s="188"/>
      <c r="G659" s="599"/>
      <c r="H659" s="7"/>
      <c r="I659" s="255"/>
      <c r="J659" s="255"/>
      <c r="K659" s="597"/>
      <c r="L659" s="193"/>
      <c r="M659" s="193"/>
      <c r="N659" s="51" t="str">
        <f>IF(AND('331-CT'!$E$7=TH!H737,OR(L659="331",M659="331")),"331",IF(AND(OR(L659="131",M659="131"),H659='131-CT'!$E$7),"131",""))</f>
        <v/>
      </c>
      <c r="O659" s="891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IF(OR(TH!L737=TH!$W$7,M659=TH!$W$7),"x","")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IF(AND(OR(LEFT(TH!L737,2)="15",LEFT(TH!M737,2)="15"),'152-CT'!$J$8=TH!F737),"x","")</f>
        <v/>
      </c>
      <c r="Z659" s="51" t="str">
        <f>IF(AND(OR(LEFT(TH!L737,2)="15",LEFT(TH!M737,2)="15"),TK!$E$7=TH!F737),"x","")</f>
        <v/>
      </c>
      <c r="AA659" s="51" t="str">
        <f>IF(AND(B659&lt;=NKC!$N$8,B659&gt;=NKC!$M$8),"x","")</f>
        <v/>
      </c>
      <c r="AB659" s="923"/>
      <c r="AC659" s="589"/>
      <c r="AD659" s="589"/>
      <c r="AE659" s="589"/>
    </row>
    <row r="660" spans="1:33" s="210" customFormat="1" ht="15.75" hidden="1" customHeight="1">
      <c r="A660" s="203" t="str">
        <f>IF(B660&lt;&gt;"",IF(AND(B660&gt;=_TM1,B660&lt;=_TM2,OR(TH!L660="1111",TH!M660="1111")),TH!D660,""),"")</f>
        <v/>
      </c>
      <c r="B660" s="36" t="str">
        <f t="shared" si="41"/>
        <v/>
      </c>
      <c r="C660" s="183"/>
      <c r="D660" s="190"/>
      <c r="E660" s="190"/>
      <c r="F660" s="188"/>
      <c r="G660" s="599"/>
      <c r="H660" s="7"/>
      <c r="I660" s="255"/>
      <c r="J660" s="255"/>
      <c r="K660" s="37"/>
      <c r="L660" s="193"/>
      <c r="M660" s="193"/>
      <c r="N660" s="51" t="str">
        <f>IF(AND('331-CT'!$E$7=TH!H738,OR(L660="331",M660="331")),"331",IF(AND(OR(L660="131",M660="131"),H660='131-CT'!$E$7),"131",""))</f>
        <v/>
      </c>
      <c r="O660" s="891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IF(OR(TH!L738=TH!$W$7,M660=TH!$W$7),"x","")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IF(AND(OR(LEFT(TH!L738,2)="15",LEFT(TH!M738,2)="15"),'152-CT'!$J$8=TH!F738),"x","")</f>
        <v/>
      </c>
      <c r="Z660" s="51" t="str">
        <f>IF(AND(OR(LEFT(TH!L738,2)="15",LEFT(TH!M738,2)="15"),TK!$E$7=TH!F738),"x","")</f>
        <v/>
      </c>
      <c r="AA660" s="51" t="str">
        <f>IF(AND(B660&lt;=NKC!$N$8,B660&gt;=NKC!$M$8),"x","")</f>
        <v/>
      </c>
      <c r="AB660" s="923"/>
      <c r="AC660" s="589"/>
      <c r="AE660" s="589"/>
    </row>
    <row r="661" spans="1:33" s="210" customFormat="1" ht="15.75" hidden="1" customHeight="1">
      <c r="A661" s="203" t="str">
        <f>IF(B661&lt;&gt;"",IF(AND(B661&gt;=_TM1,B661&lt;=_TM2,OR(TH!L661="1111",TH!M661="1111")),TH!D661,""),"")</f>
        <v/>
      </c>
      <c r="B661" s="36" t="str">
        <f t="shared" si="41"/>
        <v/>
      </c>
      <c r="C661" s="183"/>
      <c r="D661" s="190"/>
      <c r="E661" s="190"/>
      <c r="F661" s="191"/>
      <c r="G661" s="481"/>
      <c r="H661" s="209"/>
      <c r="I661" s="255"/>
      <c r="J661" s="255"/>
      <c r="K661" s="597"/>
      <c r="L661" s="193"/>
      <c r="M661" s="193"/>
      <c r="N661" s="51" t="str">
        <f>IF(AND('331-CT'!$E$7=TH!H739,OR(L661="331",M661="331")),"331",IF(AND(OR(L661="131",M661="131"),H661='131-CT'!$E$7),"131",""))</f>
        <v/>
      </c>
      <c r="O661" s="891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IF(OR(TH!L739=TH!$W$7,M661=TH!$W$7),"x","")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IF(AND(OR(LEFT(TH!L739,2)="15",LEFT(TH!M739,2)="15"),'152-CT'!$J$8=TH!F739),"x","")</f>
        <v/>
      </c>
      <c r="Z661" s="51" t="str">
        <f>IF(AND(OR(LEFT(TH!L739,2)="15",LEFT(TH!M739,2)="15"),TK!$E$7=TH!F739),"x","")</f>
        <v/>
      </c>
      <c r="AA661" s="51" t="str">
        <f>IF(AND(B661&lt;=NKC!$N$8,B661&gt;=NKC!$M$8),"x","")</f>
        <v/>
      </c>
      <c r="AB661" s="923"/>
      <c r="AC661" s="589"/>
      <c r="AD661" s="589"/>
    </row>
    <row r="662" spans="1:33" s="210" customFormat="1" ht="15.75" hidden="1" customHeight="1">
      <c r="A662" s="203" t="str">
        <f>IF(B662&lt;&gt;"",IF(AND(B662&gt;=_TM1,B662&lt;=_TM2,OR(TH!L662="1111",TH!M662="1111")),TH!D662,""),"")</f>
        <v/>
      </c>
      <c r="B662" s="36" t="str">
        <f t="shared" si="41"/>
        <v/>
      </c>
      <c r="C662" s="183"/>
      <c r="D662" s="190"/>
      <c r="E662" s="190"/>
      <c r="F662" s="191"/>
      <c r="G662" s="481"/>
      <c r="H662" s="7"/>
      <c r="I662" s="255"/>
      <c r="J662" s="255"/>
      <c r="K662" s="37"/>
      <c r="L662" s="193"/>
      <c r="M662" s="193"/>
      <c r="N662" s="51" t="str">
        <f>IF(AND('331-CT'!$E$7=TH!H740,OR(L662="331",M662="331")),"331",IF(AND(OR(L662="131",M662="131"),H662='131-CT'!$E$7),"131",""))</f>
        <v/>
      </c>
      <c r="O662" s="891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IF(OR(TH!L740=TH!$W$7,M662=TH!$W$7),"x","")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IF(AND(OR(LEFT(TH!L740,2)="15",LEFT(TH!M740,2)="15"),'152-CT'!$J$8=TH!F740),"x","")</f>
        <v/>
      </c>
      <c r="Z662" s="51" t="str">
        <f>IF(AND(OR(LEFT(TH!L740,2)="15",LEFT(TH!M740,2)="15"),TK!$E$7=TH!F740),"x","")</f>
        <v/>
      </c>
      <c r="AA662" s="51" t="str">
        <f>IF(AND(B662&lt;=NKC!$N$8,B662&gt;=NKC!$M$8),"x","")</f>
        <v/>
      </c>
      <c r="AB662" s="923"/>
      <c r="AC662" s="589"/>
    </row>
    <row r="663" spans="1:33" s="210" customFormat="1" ht="15.75" hidden="1" customHeight="1">
      <c r="A663" s="203" t="str">
        <f>IF(B663&lt;&gt;"",IF(AND(B663&gt;=_TM1,B663&lt;=_TM2,OR(TH!L663="1111",TH!M663="1111")),TH!D663,""),"")</f>
        <v/>
      </c>
      <c r="B663" s="36" t="str">
        <f t="shared" si="41"/>
        <v/>
      </c>
      <c r="C663" s="183"/>
      <c r="D663" s="190"/>
      <c r="E663" s="190"/>
      <c r="F663" s="191"/>
      <c r="G663" s="481"/>
      <c r="H663" s="7"/>
      <c r="I663" s="255"/>
      <c r="J663" s="255"/>
      <c r="K663" s="597"/>
      <c r="L663" s="193"/>
      <c r="M663" s="193"/>
      <c r="N663" s="51" t="str">
        <f>IF(AND('331-CT'!$E$7=TH!H741,OR(L663="331",M663="331")),"331",IF(AND(OR(L663="131",M663="131"),H663='131-CT'!$E$7),"131",""))</f>
        <v/>
      </c>
      <c r="O663" s="891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IF(OR(TH!L741=TH!$W$7,M663=TH!$W$7),"x","")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IF(AND(OR(LEFT(TH!L741,2)="15",LEFT(TH!M741,2)="15"),'152-CT'!$J$8=TH!F741),"x","")</f>
        <v/>
      </c>
      <c r="Z663" s="51" t="str">
        <f>IF(AND(OR(LEFT(TH!L741,2)="15",LEFT(TH!M741,2)="15"),TK!$E$7=TH!F741),"x","")</f>
        <v/>
      </c>
      <c r="AA663" s="51" t="str">
        <f>IF(AND(B663&lt;=NKC!$N$8,B663&gt;=NKC!$M$8),"x","")</f>
        <v/>
      </c>
      <c r="AB663" s="923"/>
      <c r="AC663" s="589"/>
      <c r="AD663" s="589"/>
    </row>
    <row r="664" spans="1:33" s="210" customFormat="1" ht="15.75" hidden="1" customHeight="1">
      <c r="A664" s="203" t="str">
        <f>IF(B664&lt;&gt;"",IF(AND(B664&gt;=_TM1,B664&lt;=_TM2,OR(TH!L664="1111",TH!M664="1111")),TH!D664,""),"")</f>
        <v/>
      </c>
      <c r="B664" s="36" t="str">
        <f t="shared" si="41"/>
        <v/>
      </c>
      <c r="C664" s="183"/>
      <c r="D664" s="190"/>
      <c r="E664" s="190"/>
      <c r="F664" s="191"/>
      <c r="G664" s="479"/>
      <c r="H664" s="44"/>
      <c r="I664" s="255"/>
      <c r="J664" s="255"/>
      <c r="K664" s="37"/>
      <c r="L664" s="193"/>
      <c r="M664" s="598"/>
      <c r="N664" s="51" t="str">
        <f>IF(AND('331-CT'!$E$7=TH!H340,OR(L664="331",M664="331")),"331",IF(AND(OR(L664="131",M664="131"),H664='131-CT'!$E$7),"131",""))</f>
        <v/>
      </c>
      <c r="O664" s="891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IF(OR(TH!L340=TH!$W$7,M664=TH!$W$7),"x","")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IF(AND(OR(LEFT(TH!L340,2)="15",LEFT(TH!M340,2)="15"),'152-CT'!$J$8=TH!F340),"x","")</f>
        <v/>
      </c>
      <c r="Z664" s="51" t="str">
        <f>IF(AND(OR(LEFT(TH!L340,2)="15",LEFT(TH!M340,2)="15"),TK!$E$7=TH!F340),"x","")</f>
        <v/>
      </c>
      <c r="AA664" s="51" t="str">
        <f>IF(AND(B664&lt;=NKC!$N$8,B664&gt;=NKC!$M$8),"x","")</f>
        <v/>
      </c>
      <c r="AB664" s="923"/>
      <c r="AC664" s="589"/>
      <c r="AD664" s="589"/>
      <c r="AF664" s="589"/>
      <c r="AG664" s="589"/>
    </row>
    <row r="665" spans="1:33" s="210" customFormat="1" ht="15.75" hidden="1" customHeight="1">
      <c r="A665" s="203" t="str">
        <f>IF(B665&lt;&gt;"",IF(AND(B665&gt;=_TM1,B665&lt;=_TM2,OR(TH!L665="1111",TH!M665="1111")),TH!D665,""),"")</f>
        <v/>
      </c>
      <c r="B665" s="36" t="str">
        <f t="shared" si="41"/>
        <v/>
      </c>
      <c r="C665" s="183"/>
      <c r="D665" s="190"/>
      <c r="E665" s="190"/>
      <c r="F665" s="191"/>
      <c r="G665" s="479"/>
      <c r="H665" s="44"/>
      <c r="I665" s="255"/>
      <c r="J665" s="255"/>
      <c r="K665" s="37"/>
      <c r="L665" s="193"/>
      <c r="M665" s="598"/>
      <c r="N665" s="51" t="str">
        <f>IF(AND('331-CT'!$E$7=TH!H341,OR(L665="331",M665="331")),"331",IF(AND(OR(L665="131",M665="131"),H665='131-CT'!$E$7),"131",""))</f>
        <v/>
      </c>
      <c r="O665" s="891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IF(OR(TH!L341=TH!$W$7,M665=TH!$W$7),"x","")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IF(AND(OR(LEFT(TH!L341,2)="15",LEFT(TH!M341,2)="15"),'152-CT'!$J$8=TH!F341),"x","")</f>
        <v/>
      </c>
      <c r="Z665" s="51" t="str">
        <f>IF(AND(OR(LEFT(TH!L341,2)="15",LEFT(TH!M341,2)="15"),TK!$E$7=TH!F341),"x","")</f>
        <v/>
      </c>
      <c r="AA665" s="51" t="str">
        <f>IF(AND(B665&lt;=NKC!$N$8,B665&gt;=NKC!$M$8),"x","")</f>
        <v/>
      </c>
      <c r="AB665" s="923"/>
      <c r="AC665" s="589"/>
      <c r="AF665" s="589"/>
      <c r="AG665" s="589"/>
    </row>
    <row r="666" spans="1:33" s="210" customFormat="1" ht="15.75" hidden="1" customHeight="1">
      <c r="A666" s="203" t="str">
        <f>IF(B666&lt;&gt;"",IF(AND(B666&gt;=_TM1,B666&lt;=_TM2,OR(TH!L666="1111",TH!M666="1111")),TH!D666,""),"")</f>
        <v/>
      </c>
      <c r="B666" s="36" t="str">
        <f t="shared" si="41"/>
        <v/>
      </c>
      <c r="C666" s="183"/>
      <c r="D666" s="190"/>
      <c r="E666" s="190"/>
      <c r="F666" s="191"/>
      <c r="G666" s="479"/>
      <c r="H666" s="44"/>
      <c r="I666" s="255"/>
      <c r="J666" s="255"/>
      <c r="K666" s="37"/>
      <c r="L666" s="193"/>
      <c r="M666" s="598"/>
      <c r="N666" s="51" t="str">
        <f>IF(AND('331-CT'!$E$7=TH!H342,OR(L666="331",M666="331")),"331",IF(AND(OR(L666="131",M666="131"),H666='131-CT'!$E$7),"131",""))</f>
        <v/>
      </c>
      <c r="O666" s="891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IF(OR(TH!L342=TH!$W$7,M666=TH!$W$7),"x","")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IF(AND(OR(LEFT(TH!L342,2)="15",LEFT(TH!M342,2)="15"),'152-CT'!$J$8=TH!F342),"x","")</f>
        <v/>
      </c>
      <c r="Z666" s="51" t="str">
        <f>IF(AND(OR(LEFT(TH!L342,2)="15",LEFT(TH!M342,2)="15"),TK!$E$7=TH!F342),"x","")</f>
        <v/>
      </c>
      <c r="AA666" s="51" t="str">
        <f>IF(AND(B666&lt;=NKC!$N$8,B666&gt;=NKC!$M$8),"x","")</f>
        <v/>
      </c>
      <c r="AB666" s="923"/>
      <c r="AC666" s="589"/>
      <c r="AD666" s="589"/>
    </row>
    <row r="667" spans="1:33" s="210" customFormat="1" ht="15.75" hidden="1" customHeight="1">
      <c r="A667" s="203" t="str">
        <f>IF(B667&lt;&gt;"",IF(AND(B667&gt;=_TM1,B667&lt;=_TM2,OR(TH!L667="1111",TH!M667="1111")),TH!D667,""),"")</f>
        <v/>
      </c>
      <c r="B667" s="36" t="str">
        <f t="shared" si="41"/>
        <v/>
      </c>
      <c r="C667" s="183"/>
      <c r="D667" s="190"/>
      <c r="E667" s="190"/>
      <c r="F667" s="191"/>
      <c r="G667" s="479"/>
      <c r="H667" s="44"/>
      <c r="I667" s="255"/>
      <c r="J667" s="255"/>
      <c r="K667" s="37"/>
      <c r="L667" s="193"/>
      <c r="M667" s="598"/>
      <c r="N667" s="51" t="str">
        <f>IF(AND('331-CT'!$E$7=TH!H343,OR(L667="331",M667="331")),"331",IF(AND(OR(L667="131",M667="131"),H667='131-CT'!$E$7),"131",""))</f>
        <v/>
      </c>
      <c r="O667" s="891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IF(OR(TH!L343=TH!$W$7,M667=TH!$W$7),"x","")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IF(AND(OR(LEFT(TH!L343,2)="15",LEFT(TH!M343,2)="15"),'152-CT'!$J$8=TH!F343),"x","")</f>
        <v/>
      </c>
      <c r="Z667" s="51" t="str">
        <f>IF(AND(OR(LEFT(TH!L343,2)="15",LEFT(TH!M343,2)="15"),TK!$E$7=TH!F343),"x","")</f>
        <v/>
      </c>
      <c r="AA667" s="51" t="str">
        <f>IF(AND(B667&lt;=NKC!$N$8,B667&gt;=NKC!$M$8),"x","")</f>
        <v/>
      </c>
      <c r="AB667" s="923"/>
      <c r="AC667" s="589"/>
    </row>
    <row r="668" spans="1:33" s="210" customFormat="1" ht="15.75" hidden="1" customHeight="1">
      <c r="A668" s="203" t="str">
        <f>IF(B668&lt;&gt;"",IF(AND(B668&gt;=_TM1,B668&lt;=_TM2,OR(TH!L668="1111",TH!M668="1111")),TH!D668,""),"")</f>
        <v/>
      </c>
      <c r="B668" s="36" t="str">
        <f t="shared" si="41"/>
        <v/>
      </c>
      <c r="C668" s="183"/>
      <c r="D668" s="190"/>
      <c r="E668" s="190"/>
      <c r="F668" s="191"/>
      <c r="G668" s="481"/>
      <c r="H668" s="7"/>
      <c r="I668" s="255"/>
      <c r="J668" s="255"/>
      <c r="K668" s="37"/>
      <c r="L668" s="193"/>
      <c r="M668" s="193"/>
      <c r="N668" s="51" t="str">
        <f>IF(AND('331-CT'!$E$7=TH!H742,OR(L668="331",M668="331")),"331",IF(AND(OR(L668="131",M668="131"),H668='131-CT'!$E$7),"131",""))</f>
        <v/>
      </c>
      <c r="O668" s="891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IF(OR(TH!L742=TH!$W$7,M668=TH!$W$7),"x","")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IF(AND(OR(LEFT(TH!L742,2)="15",LEFT(TH!M742,2)="15"),'152-CT'!$J$8=TH!F742),"x","")</f>
        <v/>
      </c>
      <c r="Z668" s="51" t="str">
        <f>IF(AND(OR(LEFT(TH!L742,2)="15",LEFT(TH!M742,2)="15"),TK!$E$7=TH!F742),"x","")</f>
        <v/>
      </c>
      <c r="AA668" s="51" t="str">
        <f>IF(AND(B668&lt;=NKC!$N$8,B668&gt;=NKC!$M$8),"x","")</f>
        <v/>
      </c>
      <c r="AB668" s="923"/>
      <c r="AC668" s="589"/>
      <c r="AD668" s="589"/>
    </row>
    <row r="669" spans="1:33" s="210" customFormat="1" ht="15.75" hidden="1" customHeight="1">
      <c r="A669" s="203" t="str">
        <f>IF(B669&lt;&gt;"",IF(AND(B669&gt;=_TM1,B669&lt;=_TM2,OR(TH!L669="1111",TH!M669="1111")),TH!D669,""),"")</f>
        <v/>
      </c>
      <c r="B669" s="36" t="str">
        <f t="shared" si="41"/>
        <v/>
      </c>
      <c r="C669" s="183"/>
      <c r="D669" s="190"/>
      <c r="E669" s="190"/>
      <c r="F669" s="191"/>
      <c r="G669" s="481"/>
      <c r="H669" s="7"/>
      <c r="I669" s="255"/>
      <c r="J669" s="255"/>
      <c r="K669" s="37"/>
      <c r="L669" s="193"/>
      <c r="M669" s="193"/>
      <c r="N669" s="51" t="str">
        <f>IF(AND('331-CT'!$E$7=TH!H743,OR(L669="331",M669="331")),"331",IF(AND(OR(L669="131",M669="131"),H669='131-CT'!$E$7),"131",""))</f>
        <v/>
      </c>
      <c r="O669" s="891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IF(OR(TH!L743=TH!$W$7,M669=TH!$W$7),"x","")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IF(AND(OR(LEFT(TH!L743,2)="15",LEFT(TH!M743,2)="15"),'152-CT'!$J$8=TH!F743),"x","")</f>
        <v/>
      </c>
      <c r="Z669" s="51" t="str">
        <f>IF(AND(OR(LEFT(TH!L743,2)="15",LEFT(TH!M743,2)="15"),TK!$E$7=TH!F743),"x","")</f>
        <v/>
      </c>
      <c r="AA669" s="51" t="str">
        <f>IF(AND(B669&lt;=NKC!$N$8,B669&gt;=NKC!$M$8),"x","")</f>
        <v/>
      </c>
      <c r="AB669" s="923"/>
      <c r="AC669" s="589"/>
      <c r="AD669" s="589"/>
    </row>
    <row r="670" spans="1:33" s="210" customFormat="1" ht="15.75" hidden="1" customHeight="1">
      <c r="A670" s="203" t="str">
        <f>IF(B670&lt;&gt;"",IF(AND(B670&gt;=_TM1,B670&lt;=_TM2,OR(TH!L670="1111",TH!M670="1111")),TH!D670,""),"")</f>
        <v/>
      </c>
      <c r="B670" s="36" t="str">
        <f t="shared" si="41"/>
        <v/>
      </c>
      <c r="C670" s="183"/>
      <c r="D670" s="190"/>
      <c r="E670" s="190"/>
      <c r="F670" s="191"/>
      <c r="G670" s="481"/>
      <c r="H670" s="7"/>
      <c r="I670" s="255"/>
      <c r="J670" s="255"/>
      <c r="K670" s="597"/>
      <c r="L670" s="193"/>
      <c r="M670" s="193"/>
      <c r="N670" s="51" t="e">
        <f>IF(AND('331-CT'!$E$7=TH!#REF!,OR(L670="331",M670="331")),"331",IF(AND(OR(L670="131",M670="131"),H670='131-CT'!$E$7),"131",""))</f>
        <v>#REF!</v>
      </c>
      <c r="O670" s="891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e">
        <f>IF(OR(TH!#REF!=TH!$W$7,M670=TH!$W$7),"x","")</f>
        <v>#REF!</v>
      </c>
      <c r="X670" s="51" t="str">
        <f>IF(AND(B670&gt;='IN-NX'!$P$3,B670&lt;='IN-NX'!$Q$3,'IN-NX'!$D$7=D670,OR(LEFT(L670,2)="15",AND(LEFT(M670,2)&lt;&gt;"15",LEFT(M670,2)&lt;&gt;"33"))),"x","")</f>
        <v/>
      </c>
      <c r="Y670" s="51" t="e">
        <f>IF(AND(OR(LEFT(TH!#REF!,2)="15",LEFT(TH!#REF!,2)="15"),'152-CT'!$J$8=TH!#REF!),"x","")</f>
        <v>#REF!</v>
      </c>
      <c r="Z670" s="51" t="e">
        <f>IF(AND(OR(LEFT(TH!#REF!,2)="15",LEFT(TH!#REF!,2)="15"),TK!$E$7=TH!#REF!),"x","")</f>
        <v>#REF!</v>
      </c>
      <c r="AA670" s="51" t="str">
        <f>IF(AND(B670&lt;=NKC!$N$8,B670&gt;=NKC!$M$8),"x","")</f>
        <v/>
      </c>
      <c r="AB670" s="923"/>
      <c r="AC670" s="589"/>
      <c r="AD670" s="589"/>
    </row>
    <row r="671" spans="1:33" s="210" customFormat="1" ht="15.75" hidden="1" customHeight="1">
      <c r="A671" s="203" t="str">
        <f>IF(B671&lt;&gt;"",IF(AND(B671&gt;=_TM1,B671&lt;=_TM2,OR(TH!L671="1111",TH!M671="1111")),TH!D671,""),"")</f>
        <v/>
      </c>
      <c r="B671" s="36" t="str">
        <f t="shared" si="41"/>
        <v/>
      </c>
      <c r="C671" s="183"/>
      <c r="D671" s="190"/>
      <c r="E671" s="190"/>
      <c r="F671" s="191"/>
      <c r="G671" s="479"/>
      <c r="H671" s="44"/>
      <c r="I671" s="255"/>
      <c r="J671" s="255"/>
      <c r="K671" s="37"/>
      <c r="L671" s="193"/>
      <c r="M671" s="598"/>
      <c r="N671" s="51" t="str">
        <f>IF(AND('331-CT'!$E$7=TH!H344,OR(L671="331",M671="331")),"331",IF(AND(OR(L671="131",M671="131"),H671='131-CT'!$E$7),"131",""))</f>
        <v/>
      </c>
      <c r="O671" s="891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IF(OR(TH!L344=TH!$W$7,M671=TH!$W$7),"x","")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IF(AND(OR(LEFT(TH!L344,2)="15",LEFT(TH!M344,2)="15"),'152-CT'!$J$8=TH!F344),"x","")</f>
        <v/>
      </c>
      <c r="Z671" s="51" t="str">
        <f>IF(AND(OR(LEFT(TH!L344,2)="15",LEFT(TH!M344,2)="15"),TK!$E$7=TH!F344),"x","")</f>
        <v/>
      </c>
      <c r="AA671" s="51" t="str">
        <f>IF(AND(B671&lt;=NKC!$N$8,B671&gt;=NKC!$M$8),"x","")</f>
        <v/>
      </c>
      <c r="AB671" s="923"/>
      <c r="AC671" s="589"/>
      <c r="AD671" s="589"/>
      <c r="AF671" s="589"/>
      <c r="AG671" s="589"/>
    </row>
    <row r="672" spans="1:33" s="210" customFormat="1" ht="15.75" hidden="1" customHeight="1">
      <c r="A672" s="203" t="str">
        <f>IF(B672&lt;&gt;"",IF(AND(B672&gt;=_TM1,B672&lt;=_TM2,OR(TH!L672="1111",TH!M672="1111")),TH!D672,""),"")</f>
        <v/>
      </c>
      <c r="B672" s="36" t="str">
        <f t="shared" si="41"/>
        <v/>
      </c>
      <c r="C672" s="183"/>
      <c r="D672" s="190"/>
      <c r="E672" s="190"/>
      <c r="F672" s="191"/>
      <c r="G672" s="479"/>
      <c r="H672" s="44"/>
      <c r="I672" s="255"/>
      <c r="J672" s="255"/>
      <c r="K672" s="37"/>
      <c r="L672" s="193"/>
      <c r="M672" s="598"/>
      <c r="N672" s="51" t="str">
        <f>IF(AND('331-CT'!$E$7=TH!H345,OR(L672="331",M672="331")),"331",IF(AND(OR(L672="131",M672="131"),H672='131-CT'!$E$7),"131",""))</f>
        <v/>
      </c>
      <c r="O672" s="891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IF(OR(TH!L345=TH!$W$7,M672=TH!$W$7),"x","")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IF(AND(OR(LEFT(TH!L345,2)="15",LEFT(TH!M345,2)="15"),'152-CT'!$J$8=TH!F345),"x","")</f>
        <v/>
      </c>
      <c r="Z672" s="51" t="str">
        <f>IF(AND(OR(LEFT(TH!L345,2)="15",LEFT(TH!M345,2)="15"),TK!$E$7=TH!F345),"x","")</f>
        <v/>
      </c>
      <c r="AA672" s="51" t="str">
        <f>IF(AND(B672&lt;=NKC!$N$8,B672&gt;=NKC!$M$8),"x","")</f>
        <v/>
      </c>
      <c r="AB672" s="923"/>
      <c r="AC672" s="589"/>
      <c r="AF672" s="589"/>
      <c r="AG672" s="589"/>
    </row>
    <row r="673" spans="1:33" s="210" customFormat="1" ht="15.75" hidden="1" customHeight="1">
      <c r="A673" s="203" t="str">
        <f>IF(B673&lt;&gt;"",IF(AND(B673&gt;=_TM1,B673&lt;=_TM2,OR(TH!L673="1111",TH!M673="1111")),TH!D673,""),"")</f>
        <v/>
      </c>
      <c r="B673" s="36" t="str">
        <f t="shared" si="41"/>
        <v/>
      </c>
      <c r="C673" s="183"/>
      <c r="D673" s="190"/>
      <c r="E673" s="190"/>
      <c r="F673" s="191"/>
      <c r="G673" s="481"/>
      <c r="H673" s="901"/>
      <c r="I673" s="256"/>
      <c r="J673" s="256"/>
      <c r="K673" s="37"/>
      <c r="L673" s="193"/>
      <c r="M673" s="193"/>
      <c r="N673" s="51" t="e">
        <f>IF(AND('331-CT'!$E$7=TH!#REF!,OR(L673="331",M673="331")),"331",IF(AND(OR(L673="131",M673="131"),H673='131-CT'!$E$7),"131",""))</f>
        <v>#REF!</v>
      </c>
      <c r="O673" s="891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e">
        <f>IF(OR(TH!#REF!=TH!$W$7,M673=TH!$W$7),"x","")</f>
        <v>#REF!</v>
      </c>
      <c r="X673" s="51" t="str">
        <f>IF(AND(B673&gt;='IN-NX'!$P$3,B673&lt;='IN-NX'!$Q$3,'IN-NX'!$D$7=D673,OR(LEFT(L673,2)="15",AND(LEFT(M673,2)&lt;&gt;"15",LEFT(M673,2)&lt;&gt;"33"))),"x","")</f>
        <v/>
      </c>
      <c r="Y673" s="51" t="e">
        <f>IF(AND(OR(LEFT(TH!#REF!,2)="15",LEFT(TH!#REF!,2)="15"),'152-CT'!$J$8=TH!#REF!),"x","")</f>
        <v>#REF!</v>
      </c>
      <c r="Z673" s="51" t="e">
        <f>IF(AND(OR(LEFT(TH!#REF!,2)="15",LEFT(TH!#REF!,2)="15"),TK!$E$7=TH!#REF!),"x","")</f>
        <v>#REF!</v>
      </c>
      <c r="AA673" s="51" t="str">
        <f>IF(AND(B673&lt;=NKC!$N$8,B673&gt;=NKC!$M$8),"x","")</f>
        <v/>
      </c>
      <c r="AB673" s="923"/>
      <c r="AC673" s="589"/>
    </row>
    <row r="674" spans="1:33" s="210" customFormat="1" ht="15.75" hidden="1" customHeight="1">
      <c r="A674" s="203" t="str">
        <f>IF(B674&lt;&gt;"",IF(AND(B674&gt;=_TM1,B674&lt;=_TM2,OR(TH!L674="1111",TH!M674="1111")),TH!D674,""),"")</f>
        <v/>
      </c>
      <c r="B674" s="36" t="str">
        <f t="shared" si="41"/>
        <v/>
      </c>
      <c r="C674" s="183"/>
      <c r="D674" s="190"/>
      <c r="E674" s="190"/>
      <c r="F674" s="191"/>
      <c r="G674" s="481"/>
      <c r="H674" s="209"/>
      <c r="I674" s="255"/>
      <c r="J674" s="255"/>
      <c r="K674" s="597"/>
      <c r="L674" s="193"/>
      <c r="M674" s="193"/>
      <c r="N674" s="51" t="e">
        <f>IF(AND('331-CT'!$E$7=TH!#REF!,OR(L674="331",M674="331")),"331",IF(AND(OR(L674="131",M674="131"),H674='131-CT'!$E$7),"131",""))</f>
        <v>#REF!</v>
      </c>
      <c r="O674" s="891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e">
        <f>IF(OR(TH!#REF!=TH!$W$7,M674=TH!$W$7),"x","")</f>
        <v>#REF!</v>
      </c>
      <c r="X674" s="51" t="str">
        <f>IF(AND(B674&gt;='IN-NX'!$P$3,B674&lt;='IN-NX'!$Q$3,'IN-NX'!$D$7=D674,OR(LEFT(L674,2)="15",AND(LEFT(M674,2)&lt;&gt;"15",LEFT(M674,2)&lt;&gt;"33"))),"x","")</f>
        <v/>
      </c>
      <c r="Y674" s="51" t="e">
        <f>IF(AND(OR(LEFT(TH!#REF!,2)="15",LEFT(TH!#REF!,2)="15"),'152-CT'!$J$8=TH!#REF!),"x","")</f>
        <v>#REF!</v>
      </c>
      <c r="Z674" s="51" t="e">
        <f>IF(AND(OR(LEFT(TH!#REF!,2)="15",LEFT(TH!#REF!,2)="15"),TK!$E$7=TH!#REF!),"x","")</f>
        <v>#REF!</v>
      </c>
      <c r="AA674" s="51" t="str">
        <f>IF(AND(B674&lt;=NKC!$N$8,B674&gt;=NKC!$M$8),"x","")</f>
        <v/>
      </c>
      <c r="AB674" s="923"/>
      <c r="AC674" s="589"/>
      <c r="AD674" s="589"/>
    </row>
    <row r="675" spans="1:33" s="210" customFormat="1" ht="15.75" hidden="1" customHeight="1">
      <c r="A675" s="203" t="str">
        <f>IF(B675&lt;&gt;"",IF(AND(B675&gt;=_TM1,B675&lt;=_TM2,OR(TH!L675="1111",TH!M675="1111")),TH!D675,""),"")</f>
        <v/>
      </c>
      <c r="B675" s="36" t="str">
        <f t="shared" si="41"/>
        <v/>
      </c>
      <c r="C675" s="183"/>
      <c r="D675" s="190"/>
      <c r="E675" s="190"/>
      <c r="F675" s="191"/>
      <c r="G675" s="481"/>
      <c r="H675" s="192"/>
      <c r="I675" s="255"/>
      <c r="J675" s="255"/>
      <c r="K675" s="37"/>
      <c r="L675" s="193"/>
      <c r="M675" s="193"/>
      <c r="N675" s="51" t="e">
        <f>IF(AND('331-CT'!$E$7=TH!#REF!,OR(L675="331",M675="331")),"331",IF(AND(OR(L675="131",M675="131"),H675='131-CT'!$E$7),"131",""))</f>
        <v>#REF!</v>
      </c>
      <c r="O675" s="891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e">
        <f>IF(OR(TH!#REF!=TH!$W$7,M675=TH!$W$7),"x","")</f>
        <v>#REF!</v>
      </c>
      <c r="X675" s="51" t="str">
        <f>IF(AND(B675&gt;='IN-NX'!$P$3,B675&lt;='IN-NX'!$Q$3,'IN-NX'!$D$7=D675,OR(LEFT(L675,2)="15",AND(LEFT(M675,2)&lt;&gt;"15",LEFT(M675,2)&lt;&gt;"33"))),"x","")</f>
        <v/>
      </c>
      <c r="Y675" s="51" t="e">
        <f>IF(AND(OR(LEFT(TH!#REF!,2)="15",LEFT(TH!#REF!,2)="15"),'152-CT'!$J$8=TH!#REF!),"x","")</f>
        <v>#REF!</v>
      </c>
      <c r="Z675" s="51" t="e">
        <f>IF(AND(OR(LEFT(TH!#REF!,2)="15",LEFT(TH!#REF!,2)="15"),TK!$E$7=TH!#REF!),"x","")</f>
        <v>#REF!</v>
      </c>
      <c r="AA675" s="51" t="str">
        <f>IF(AND(B675&lt;=NKC!$N$8,B675&gt;=NKC!$M$8),"x","")</f>
        <v/>
      </c>
      <c r="AB675" s="923"/>
      <c r="AC675" s="589"/>
    </row>
    <row r="676" spans="1:33" s="210" customFormat="1" ht="15.75" hidden="1" customHeight="1">
      <c r="A676" s="203" t="str">
        <f>IF(B676&lt;&gt;"",IF(AND(B676&gt;=_TM1,B676&lt;=_TM2,OR(TH!L676="1111",TH!M676="1111")),TH!D676,""),"")</f>
        <v/>
      </c>
      <c r="B676" s="36" t="str">
        <f t="shared" si="41"/>
        <v/>
      </c>
      <c r="C676" s="183"/>
      <c r="D676" s="190"/>
      <c r="E676" s="190"/>
      <c r="F676" s="191"/>
      <c r="G676" s="481"/>
      <c r="H676" s="7"/>
      <c r="I676" s="255"/>
      <c r="J676" s="255"/>
      <c r="K676" s="597"/>
      <c r="L676" s="193"/>
      <c r="M676" s="193"/>
      <c r="N676" s="51" t="str">
        <f>IF(AND('331-CT'!$E$7=TH!H744,OR(L676="331",M676="331")),"331",IF(AND(OR(L676="131",M676="131"),H676='131-CT'!$E$7),"131",""))</f>
        <v/>
      </c>
      <c r="O676" s="891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IF(OR(TH!L744=TH!$W$7,M676=TH!$W$7),"x","")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IF(AND(OR(LEFT(TH!L744,2)="15",LEFT(TH!M744,2)="15"),'152-CT'!$J$8=TH!F744),"x","")</f>
        <v/>
      </c>
      <c r="Z676" s="51" t="str">
        <f>IF(AND(OR(LEFT(TH!L744,2)="15",LEFT(TH!M744,2)="15"),TK!$E$7=TH!F744),"x","")</f>
        <v/>
      </c>
      <c r="AA676" s="51" t="str">
        <f>IF(AND(B676&lt;=NKC!$N$8,B676&gt;=NKC!$M$8),"x","")</f>
        <v/>
      </c>
      <c r="AB676" s="923"/>
      <c r="AC676" s="589"/>
      <c r="AD676" s="589"/>
    </row>
    <row r="677" spans="1:33" s="210" customFormat="1" ht="15.75" hidden="1" customHeight="1">
      <c r="A677" s="203" t="str">
        <f>IF(B677&lt;&gt;"",IF(AND(B677&gt;=_TM1,B677&lt;=_TM2,OR(TH!L677="1111",TH!M677="1111")),TH!D677,""),"")</f>
        <v/>
      </c>
      <c r="B677" s="36" t="str">
        <f t="shared" si="41"/>
        <v/>
      </c>
      <c r="C677" s="183"/>
      <c r="D677" s="190"/>
      <c r="E677" s="190"/>
      <c r="F677" s="191"/>
      <c r="G677" s="479"/>
      <c r="H677" s="44"/>
      <c r="I677" s="255"/>
      <c r="J677" s="255"/>
      <c r="K677" s="37"/>
      <c r="L677" s="193"/>
      <c r="M677" s="598"/>
      <c r="N677" s="51" t="str">
        <f>IF(AND('331-CT'!$E$7=TH!H346,OR(L677="331",M677="331")),"331",IF(AND(OR(L677="131",M677="131"),H677='131-CT'!$E$7),"131",""))</f>
        <v/>
      </c>
      <c r="O677" s="891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IF(OR(TH!L346=TH!$W$7,M677=TH!$W$7),"x","")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IF(AND(OR(LEFT(TH!L346,2)="15",LEFT(TH!M346,2)="15"),'152-CT'!$J$8=TH!F346),"x","")</f>
        <v/>
      </c>
      <c r="Z677" s="51" t="str">
        <f>IF(AND(OR(LEFT(TH!L346,2)="15",LEFT(TH!M346,2)="15"),TK!$E$7=TH!F346),"x","")</f>
        <v/>
      </c>
      <c r="AA677" s="51" t="str">
        <f>IF(AND(B677&lt;=NKC!$N$8,B677&gt;=NKC!$M$8),"x","")</f>
        <v/>
      </c>
      <c r="AB677" s="923"/>
      <c r="AC677" s="589"/>
      <c r="AD677" s="589"/>
      <c r="AF677" s="589"/>
      <c r="AG677" s="589"/>
    </row>
    <row r="678" spans="1:33" s="210" customFormat="1" ht="15.75" hidden="1" customHeight="1">
      <c r="A678" s="203" t="str">
        <f>IF(B678&lt;&gt;"",IF(AND(B678&gt;=_TM1,B678&lt;=_TM2,OR(TH!L678="1111",TH!M678="1111")),TH!D678,""),"")</f>
        <v/>
      </c>
      <c r="B678" s="36" t="str">
        <f t="shared" si="41"/>
        <v/>
      </c>
      <c r="C678" s="183"/>
      <c r="D678" s="190"/>
      <c r="E678" s="190"/>
      <c r="F678" s="191"/>
      <c r="G678" s="479"/>
      <c r="H678" s="44"/>
      <c r="I678" s="256"/>
      <c r="J678" s="255"/>
      <c r="K678" s="37"/>
      <c r="L678" s="193"/>
      <c r="M678" s="598"/>
      <c r="N678" s="51" t="str">
        <f>IF(AND('331-CT'!$E$7=TH!H347,OR(L678="331",M678="331")),"331",IF(AND(OR(L678="131",M678="131"),H678='131-CT'!$E$7),"131",""))</f>
        <v/>
      </c>
      <c r="O678" s="891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IF(OR(TH!L347=TH!$W$7,M678=TH!$W$7),"x","")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IF(AND(OR(LEFT(TH!L347,2)="15",LEFT(TH!M347,2)="15"),'152-CT'!$J$8=TH!F347),"x","")</f>
        <v/>
      </c>
      <c r="Z678" s="51" t="str">
        <f>IF(AND(OR(LEFT(TH!L347,2)="15",LEFT(TH!M347,2)="15"),TK!$E$7=TH!F347),"x","")</f>
        <v/>
      </c>
      <c r="AA678" s="51" t="str">
        <f>IF(AND(B678&lt;=NKC!$N$8,B678&gt;=NKC!$M$8),"x","")</f>
        <v/>
      </c>
      <c r="AB678" s="923"/>
      <c r="AC678" s="589"/>
      <c r="AD678" s="589"/>
      <c r="AF678" s="589"/>
      <c r="AG678" s="589"/>
    </row>
    <row r="679" spans="1:33" s="210" customFormat="1" ht="15.75" hidden="1" customHeight="1">
      <c r="A679" s="203" t="str">
        <f>IF(B679&lt;&gt;"",IF(AND(B679&gt;=_TM1,B679&lt;=_TM2,OR(TH!L679="1111",TH!M679="1111")),TH!D679,""),"")</f>
        <v/>
      </c>
      <c r="B679" s="36" t="str">
        <f t="shared" si="41"/>
        <v/>
      </c>
      <c r="C679" s="183"/>
      <c r="D679" s="190"/>
      <c r="E679" s="190"/>
      <c r="F679" s="191"/>
      <c r="G679" s="481"/>
      <c r="H679" s="192"/>
      <c r="I679" s="255"/>
      <c r="J679" s="255"/>
      <c r="K679" s="37"/>
      <c r="L679" s="193"/>
      <c r="M679" s="193"/>
      <c r="N679" s="51" t="str">
        <f>IF(AND('331-CT'!$E$7=TH!H745,OR(L679="331",M679="331")),"331",IF(AND(OR(L679="131",M679="131"),H679='131-CT'!$E$7),"131",""))</f>
        <v/>
      </c>
      <c r="O679" s="891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IF(OR(TH!L745=TH!$W$7,M679=TH!$W$7),"x","")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IF(AND(OR(LEFT(TH!L745,2)="15",LEFT(TH!M745,2)="15"),'152-CT'!$J$8=TH!F745),"x","")</f>
        <v/>
      </c>
      <c r="Z679" s="51" t="str">
        <f>IF(AND(OR(LEFT(TH!L745,2)="15",LEFT(TH!M745,2)="15"),TK!$E$7=TH!F745),"x","")</f>
        <v/>
      </c>
      <c r="AA679" s="51" t="str">
        <f>IF(AND(B679&lt;=NKC!$N$8,B679&gt;=NKC!$M$8),"x","")</f>
        <v/>
      </c>
      <c r="AB679" s="923"/>
      <c r="AC679" s="589"/>
    </row>
    <row r="680" spans="1:33" s="210" customFormat="1" ht="15.75" hidden="1" customHeight="1">
      <c r="A680" s="203" t="str">
        <f>IF(B680&lt;&gt;"",IF(AND(B680&gt;=_TM1,B680&lt;=_TM2,OR(TH!L680="1111",TH!M680="1111")),TH!D680,""),"")</f>
        <v/>
      </c>
      <c r="B680" s="36" t="str">
        <f t="shared" si="41"/>
        <v/>
      </c>
      <c r="C680" s="183"/>
      <c r="D680" s="190"/>
      <c r="E680" s="190"/>
      <c r="F680" s="191"/>
      <c r="G680" s="481"/>
      <c r="H680" s="192"/>
      <c r="I680" s="255"/>
      <c r="J680" s="255"/>
      <c r="K680" s="37"/>
      <c r="L680" s="193"/>
      <c r="M680" s="193"/>
      <c r="N680" s="51" t="str">
        <f>IF(AND('331-CT'!$E$7=TH!H746,OR(L680="331",M680="331")),"331",IF(AND(OR(L680="131",M680="131"),H680='131-CT'!$E$7),"131",""))</f>
        <v/>
      </c>
      <c r="O680" s="891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IF(OR(TH!L746=TH!$W$7,M680=TH!$W$7),"x","")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IF(AND(OR(LEFT(TH!L746,2)="15",LEFT(TH!M746,2)="15"),'152-CT'!$J$8=TH!F746),"x","")</f>
        <v/>
      </c>
      <c r="Z680" s="51" t="str">
        <f>IF(AND(OR(LEFT(TH!L746,2)="15",LEFT(TH!M746,2)="15"),TK!$E$7=TH!F746),"x","")</f>
        <v/>
      </c>
      <c r="AA680" s="51" t="str">
        <f>IF(AND(B680&lt;=NKC!$N$8,B680&gt;=NKC!$M$8),"x","")</f>
        <v/>
      </c>
      <c r="AB680" s="923"/>
      <c r="AC680" s="589"/>
      <c r="AD680" s="589"/>
    </row>
    <row r="681" spans="1:33" s="210" customFormat="1" ht="15.75" hidden="1" customHeight="1">
      <c r="A681" s="203" t="str">
        <f>IF(B681&lt;&gt;"",IF(AND(B681&gt;=_TM1,B681&lt;=_TM2,OR(TH!L681="1111",TH!M681="1111")),TH!D681,""),"")</f>
        <v/>
      </c>
      <c r="B681" s="36" t="str">
        <f t="shared" si="41"/>
        <v/>
      </c>
      <c r="C681" s="183"/>
      <c r="D681" s="190"/>
      <c r="E681" s="190"/>
      <c r="F681" s="191"/>
      <c r="G681" s="481"/>
      <c r="H681" s="192"/>
      <c r="I681" s="255"/>
      <c r="J681" s="255"/>
      <c r="K681" s="597"/>
      <c r="L681" s="193"/>
      <c r="M681" s="193"/>
      <c r="N681" s="51" t="str">
        <f>IF(AND('331-CT'!$E$7=TH!H747,OR(L681="331",M681="331")),"331",IF(AND(OR(L681="131",M681="131"),H681='131-CT'!$E$7),"131",""))</f>
        <v/>
      </c>
      <c r="O681" s="891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IF(OR(TH!L747=TH!$W$7,M681=TH!$W$7),"x","")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IF(AND(OR(LEFT(TH!L747,2)="15",LEFT(TH!M747,2)="15"),'152-CT'!$J$8=TH!F747),"x","")</f>
        <v/>
      </c>
      <c r="Z681" s="51" t="str">
        <f>IF(AND(OR(LEFT(TH!L747,2)="15",LEFT(TH!M747,2)="15"),TK!$E$7=TH!F747),"x","")</f>
        <v/>
      </c>
      <c r="AA681" s="51" t="str">
        <f>IF(AND(B681&lt;=NKC!$N$8,B681&gt;=NKC!$M$8),"x","")</f>
        <v/>
      </c>
      <c r="AB681" s="923"/>
      <c r="AC681" s="589"/>
    </row>
    <row r="682" spans="1:33" s="210" customFormat="1" ht="15.75" hidden="1" customHeight="1">
      <c r="A682" s="203" t="str">
        <f>IF(B682&lt;&gt;"",IF(AND(B682&gt;=_TM1,B682&lt;=_TM2,OR(TH!L682="1111",TH!M682="1111")),TH!D682,""),"")</f>
        <v/>
      </c>
      <c r="B682" s="36" t="str">
        <f t="shared" si="41"/>
        <v/>
      </c>
      <c r="C682" s="183"/>
      <c r="D682" s="190"/>
      <c r="E682" s="190"/>
      <c r="F682" s="191"/>
      <c r="G682" s="481"/>
      <c r="H682" s="192"/>
      <c r="I682" s="255"/>
      <c r="J682" s="255"/>
      <c r="K682" s="37"/>
      <c r="L682" s="193"/>
      <c r="M682" s="193"/>
      <c r="N682" s="51" t="str">
        <f>IF(AND('331-CT'!$E$7=TH!H748,OR(L682="331",M682="331")),"331",IF(AND(OR(L682="131",M682="131"),H682='131-CT'!$E$7),"131",""))</f>
        <v/>
      </c>
      <c r="O682" s="891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IF(OR(TH!L748=TH!$W$7,M682=TH!$W$7),"x","")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IF(AND(OR(LEFT(TH!L748,2)="15",LEFT(TH!M748,2)="15"),'152-CT'!$J$8=TH!F748),"x","")</f>
        <v/>
      </c>
      <c r="Z682" s="51" t="str">
        <f>IF(AND(OR(LEFT(TH!L748,2)="15",LEFT(TH!M748,2)="15"),TK!$E$7=TH!F748),"x","")</f>
        <v/>
      </c>
      <c r="AA682" s="51" t="str">
        <f>IF(AND(B682&lt;=NKC!$N$8,B682&gt;=NKC!$M$8),"x","")</f>
        <v/>
      </c>
      <c r="AB682" s="923"/>
      <c r="AC682" s="589"/>
      <c r="AD682" s="589"/>
    </row>
    <row r="683" spans="1:33" s="210" customFormat="1" ht="15.75" hidden="1" customHeight="1">
      <c r="A683" s="203" t="str">
        <f>IF(B683&lt;&gt;"",IF(AND(B683&gt;=_TM1,B683&lt;=_TM2,OR(TH!L683="1111",TH!M683="1111")),TH!D683,""),"")</f>
        <v/>
      </c>
      <c r="B683" s="853" t="str">
        <f t="shared" si="41"/>
        <v/>
      </c>
      <c r="C683" s="854"/>
      <c r="D683" s="190"/>
      <c r="E683" s="190"/>
      <c r="F683" s="191"/>
      <c r="G683" s="481"/>
      <c r="H683" s="192"/>
      <c r="I683" s="255"/>
      <c r="J683" s="255"/>
      <c r="K683" s="37"/>
      <c r="L683" s="193"/>
      <c r="M683" s="193"/>
      <c r="N683" s="51" t="str">
        <f>IF(AND('331-CT'!$E$7=TH!H749,OR(L683="331",M683="331")),"331",IF(AND(OR(L683="131",M683="131"),H683='131-CT'!$E$7),"131",""))</f>
        <v/>
      </c>
      <c r="O683" s="891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IF(OR(TH!L749=TH!$W$7,M683=TH!$W$7),"x","")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IF(AND(OR(LEFT(TH!L749,2)="15",LEFT(TH!M749,2)="15"),'152-CT'!$J$8=TH!F749),"x","")</f>
        <v/>
      </c>
      <c r="Z683" s="51" t="str">
        <f>IF(AND(OR(LEFT(TH!L749,2)="15",LEFT(TH!M749,2)="15"),TK!$E$7=TH!F749),"x","")</f>
        <v/>
      </c>
      <c r="AA683" s="51" t="str">
        <f>IF(AND(B683&lt;=NKC!$N$8,B683&gt;=NKC!$M$8),"x","")</f>
        <v/>
      </c>
      <c r="AB683" s="923"/>
      <c r="AC683" s="861"/>
      <c r="AD683" s="862"/>
      <c r="AE683" s="862"/>
      <c r="AF683" s="862"/>
      <c r="AG683" s="862"/>
    </row>
    <row r="684" spans="1:33" s="210" customFormat="1" ht="15.75" hidden="1" customHeight="1">
      <c r="A684" s="203" t="str">
        <f>IF(B684&lt;&gt;"",IF(AND(B684&gt;=_TM1,B684&lt;=_TM2,OR(TH!L684="1111",TH!M684="1111")),TH!D684,""),"")</f>
        <v/>
      </c>
      <c r="B684" s="36" t="str">
        <f t="shared" si="41"/>
        <v/>
      </c>
      <c r="C684" s="183"/>
      <c r="D684" s="190"/>
      <c r="E684" s="190"/>
      <c r="F684" s="191"/>
      <c r="G684" s="481"/>
      <c r="H684" s="192"/>
      <c r="I684" s="255"/>
      <c r="J684" s="255"/>
      <c r="K684" s="597"/>
      <c r="L684" s="193"/>
      <c r="M684" s="193"/>
      <c r="N684" s="51" t="str">
        <f>IF(AND('331-CT'!$E$7=TH!H750,OR(L684="331",M684="331")),"331",IF(AND(OR(L684="131",M684="131"),H684='131-CT'!$E$7),"131",""))</f>
        <v/>
      </c>
      <c r="O684" s="891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IF(OR(TH!L750=TH!$W$7,M684=TH!$W$7),"x","")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IF(AND(OR(LEFT(TH!L750,2)="15",LEFT(TH!M750,2)="15"),'152-CT'!$J$8=TH!F750),"x","")</f>
        <v/>
      </c>
      <c r="Z684" s="51" t="str">
        <f>IF(AND(OR(LEFT(TH!L750,2)="15",LEFT(TH!M750,2)="15"),TK!$E$7=TH!F750),"x","")</f>
        <v/>
      </c>
      <c r="AA684" s="51" t="str">
        <f>IF(AND(B684&lt;=NKC!$N$8,B684&gt;=NKC!$M$8),"x","")</f>
        <v/>
      </c>
      <c r="AB684" s="923"/>
      <c r="AC684" s="589"/>
      <c r="AD684" s="589"/>
    </row>
    <row r="685" spans="1:33" s="210" customFormat="1" ht="15.75" hidden="1" customHeight="1">
      <c r="A685" s="203" t="str">
        <f>IF(B685&lt;&gt;"",IF(AND(B685&gt;=_TM1,B685&lt;=_TM2,OR(TH!L685="1111",TH!M685="1111")),TH!D685,""),"")</f>
        <v/>
      </c>
      <c r="B685" s="36" t="str">
        <f t="shared" si="41"/>
        <v/>
      </c>
      <c r="C685" s="183"/>
      <c r="D685" s="190"/>
      <c r="E685" s="190"/>
      <c r="F685" s="191"/>
      <c r="G685" s="481"/>
      <c r="H685" s="7"/>
      <c r="I685" s="255"/>
      <c r="J685" s="255"/>
      <c r="K685" s="37"/>
      <c r="L685" s="193"/>
      <c r="M685" s="193"/>
      <c r="N685" s="51" t="str">
        <f>IF(AND('331-CT'!$E$7=TH!H751,OR(L685="331",M685="331")),"331",IF(AND(OR(L685="131",M685="131"),H685='131-CT'!$E$7),"131",""))</f>
        <v/>
      </c>
      <c r="O685" s="891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IF(OR(TH!L751=TH!$W$7,M685=TH!$W$7),"x","")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IF(AND(OR(LEFT(TH!L751,2)="15",LEFT(TH!M751,2)="15"),'152-CT'!$J$8=TH!F751),"x","")</f>
        <v/>
      </c>
      <c r="Z685" s="51" t="str">
        <f>IF(AND(OR(LEFT(TH!L751,2)="15",LEFT(TH!M751,2)="15"),TK!$E$7=TH!F751),"x","")</f>
        <v/>
      </c>
      <c r="AA685" s="51" t="str">
        <f>IF(AND(B685&lt;=NKC!$N$8,B685&gt;=NKC!$M$8),"x","")</f>
        <v/>
      </c>
      <c r="AB685" s="923"/>
      <c r="AC685" s="589"/>
    </row>
    <row r="686" spans="1:33" s="210" customFormat="1" ht="15.75" hidden="1" customHeight="1">
      <c r="A686" s="203" t="str">
        <f>IF(B686&lt;&gt;"",IF(AND(B686&gt;=_TM1,B686&lt;=_TM2,OR(TH!L686="1111",TH!M686="1111")),TH!D686,""),"")</f>
        <v/>
      </c>
      <c r="B686" s="36" t="str">
        <f t="shared" si="41"/>
        <v/>
      </c>
      <c r="C686" s="183"/>
      <c r="D686" s="190"/>
      <c r="E686" s="190"/>
      <c r="F686" s="191"/>
      <c r="G686" s="481"/>
      <c r="H686" s="7"/>
      <c r="I686" s="255"/>
      <c r="J686" s="255"/>
      <c r="K686" s="597"/>
      <c r="L686" s="193"/>
      <c r="M686" s="193"/>
      <c r="N686" s="51" t="str">
        <f>IF(AND('331-CT'!$E$7=TH!H752,OR(L686="331",M686="331")),"331",IF(AND(OR(L686="131",M686="131"),H686='131-CT'!$E$7),"131",""))</f>
        <v/>
      </c>
      <c r="O686" s="891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IF(OR(TH!L752=TH!$W$7,M686=TH!$W$7),"x","")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IF(AND(OR(LEFT(TH!L752,2)="15",LEFT(TH!M752,2)="15"),'152-CT'!$J$8=TH!F752),"x","")</f>
        <v/>
      </c>
      <c r="Z686" s="51" t="str">
        <f>IF(AND(OR(LEFT(TH!L752,2)="15",LEFT(TH!M752,2)="15"),TK!$E$7=TH!F752),"x","")</f>
        <v/>
      </c>
      <c r="AA686" s="51" t="str">
        <f>IF(AND(B686&lt;=NKC!$N$8,B686&gt;=NKC!$M$8),"x","")</f>
        <v/>
      </c>
      <c r="AB686" s="923"/>
      <c r="AC686" s="589"/>
      <c r="AD686" s="589"/>
    </row>
    <row r="687" spans="1:33" s="210" customFormat="1" ht="15.75" hidden="1" customHeight="1">
      <c r="A687" s="203" t="str">
        <f>IF(B687&lt;&gt;"",IF(AND(B687&gt;=_TM1,B687&lt;=_TM2,OR(TH!L687="1111",TH!M687="1111")),TH!D687,""),"")</f>
        <v/>
      </c>
      <c r="B687" s="36" t="str">
        <f t="shared" si="41"/>
        <v/>
      </c>
      <c r="C687" s="183"/>
      <c r="D687" s="190"/>
      <c r="E687" s="190"/>
      <c r="F687" s="191"/>
      <c r="G687" s="481"/>
      <c r="H687" s="7"/>
      <c r="I687" s="255"/>
      <c r="J687" s="255"/>
      <c r="K687" s="37"/>
      <c r="L687" s="193"/>
      <c r="M687" s="193"/>
      <c r="N687" s="51" t="str">
        <f>IF(AND('331-CT'!$E$7=TH!H753,OR(L687="331",M687="331")),"331",IF(AND(OR(L687="131",M687="131"),H687='131-CT'!$E$7),"131",""))</f>
        <v/>
      </c>
      <c r="O687" s="891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IF(OR(TH!L753=TH!$W$7,M687=TH!$W$7),"x","")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IF(AND(OR(LEFT(TH!L753,2)="15",LEFT(TH!M753,2)="15"),'152-CT'!$J$8=TH!F753),"x","")</f>
        <v/>
      </c>
      <c r="Z687" s="51" t="str">
        <f>IF(AND(OR(LEFT(TH!L753,2)="15",LEFT(TH!M753,2)="15"),TK!$E$7=TH!F753),"x","")</f>
        <v/>
      </c>
      <c r="AA687" s="51" t="str">
        <f>IF(AND(B687&lt;=NKC!$N$8,B687&gt;=NKC!$M$8),"x","")</f>
        <v/>
      </c>
      <c r="AB687" s="923"/>
      <c r="AC687" s="589"/>
    </row>
    <row r="688" spans="1:33" s="210" customFormat="1" ht="15.75" hidden="1" customHeight="1">
      <c r="A688" s="203" t="str">
        <f>IF(B688&lt;&gt;"",IF(AND(B688&gt;=_TM1,B688&lt;=_TM2,OR(TH!L688="1111",TH!M688="1111")),TH!D688,""),"")</f>
        <v/>
      </c>
      <c r="B688" s="36" t="str">
        <f t="shared" si="41"/>
        <v/>
      </c>
      <c r="C688" s="183"/>
      <c r="D688" s="190"/>
      <c r="E688" s="190"/>
      <c r="F688" s="191"/>
      <c r="G688" s="481"/>
      <c r="H688" s="7"/>
      <c r="I688" s="255"/>
      <c r="J688" s="255"/>
      <c r="K688" s="37"/>
      <c r="L688" s="193"/>
      <c r="M688" s="193"/>
      <c r="N688" s="51" t="str">
        <f>IF(AND('331-CT'!$E$7=TH!H756,OR(L688="331",M688="331")),"331",IF(AND(OR(L688="131",M688="131"),H688='131-CT'!$E$7),"131",""))</f>
        <v/>
      </c>
      <c r="O688" s="891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IF(OR(TH!L756=TH!$W$7,M688=TH!$W$7),"x","")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IF(AND(OR(LEFT(TH!L756,2)="15",LEFT(TH!M756,2)="15"),'152-CT'!$J$8=TH!F756),"x","")</f>
        <v/>
      </c>
      <c r="Z688" s="51" t="str">
        <f>IF(AND(OR(LEFT(TH!L756,2)="15",LEFT(TH!M756,2)="15"),TK!$E$7=TH!F756),"x","")</f>
        <v/>
      </c>
      <c r="AA688" s="51" t="str">
        <f>IF(AND(B688&lt;=NKC!$N$8,B688&gt;=NKC!$M$8),"x","")</f>
        <v/>
      </c>
      <c r="AB688" s="923"/>
      <c r="AC688" s="589"/>
      <c r="AD688" s="589"/>
    </row>
    <row r="689" spans="1:33" s="210" customFormat="1" ht="15.75" hidden="1" customHeight="1">
      <c r="A689" s="203" t="str">
        <f>IF(B689&lt;&gt;"",IF(AND(B689&gt;=_TM1,B689&lt;=_TM2,OR(TH!L689="1111",TH!M689="1111")),TH!D689,""),"")</f>
        <v/>
      </c>
      <c r="B689" s="36" t="str">
        <f t="shared" si="41"/>
        <v/>
      </c>
      <c r="C689" s="183"/>
      <c r="D689" s="190"/>
      <c r="E689" s="190"/>
      <c r="F689" s="191"/>
      <c r="G689" s="481"/>
      <c r="H689" s="7"/>
      <c r="I689" s="255"/>
      <c r="J689" s="255"/>
      <c r="K689" s="597"/>
      <c r="L689" s="193"/>
      <c r="M689" s="193"/>
      <c r="N689" s="51" t="str">
        <f>IF(AND('331-CT'!$E$7=TH!H759,OR(L689="331",M689="331")),"331",IF(AND(OR(L689="131",M689="131"),H689='131-CT'!$E$7),"131",""))</f>
        <v/>
      </c>
      <c r="O689" s="891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IF(OR(TH!L759=TH!$W$7,M689=TH!$W$7),"x","")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IF(AND(OR(LEFT(TH!L759,2)="15",LEFT(TH!M759,2)="15"),'152-CT'!$J$8=TH!F759),"x","")</f>
        <v/>
      </c>
      <c r="Z689" s="51" t="str">
        <f>IF(AND(OR(LEFT(TH!L759,2)="15",LEFT(TH!M759,2)="15"),TK!$E$7=TH!F759),"x","")</f>
        <v/>
      </c>
      <c r="AA689" s="51" t="str">
        <f>IF(AND(B689&lt;=NKC!$N$8,B689&gt;=NKC!$M$8),"x","")</f>
        <v/>
      </c>
      <c r="AB689" s="923"/>
      <c r="AC689" s="589"/>
    </row>
    <row r="690" spans="1:33" s="210" customFormat="1" ht="15.75" hidden="1" customHeight="1">
      <c r="A690" s="203" t="str">
        <f>IF(B690&lt;&gt;"",IF(AND(B690&gt;=_TM1,B690&lt;=_TM2,OR(TH!L690="1111",TH!M690="1111")),TH!D690,""),"")</f>
        <v/>
      </c>
      <c r="B690" s="36" t="str">
        <f t="shared" si="41"/>
        <v/>
      </c>
      <c r="C690" s="183"/>
      <c r="D690" s="190"/>
      <c r="E690" s="190"/>
      <c r="F690" s="191"/>
      <c r="G690" s="479"/>
      <c r="H690" s="44"/>
      <c r="I690" s="255"/>
      <c r="J690" s="255"/>
      <c r="K690" s="37"/>
      <c r="L690" s="193"/>
      <c r="M690" s="598"/>
      <c r="N690" s="51" t="str">
        <f>IF(AND('331-CT'!$E$7=TH!H348,OR(L690="331",M690="331")),"331",IF(AND(OR(L690="131",M690="131"),H690='131-CT'!$E$7),"131",""))</f>
        <v/>
      </c>
      <c r="O690" s="891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IF(OR(TH!L348=TH!$W$7,M690=TH!$W$7),"x","")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IF(AND(OR(LEFT(TH!L348,2)="15",LEFT(TH!M348,2)="15"),'152-CT'!$J$8=TH!F348),"x","")</f>
        <v/>
      </c>
      <c r="Z690" s="51" t="str">
        <f>IF(AND(OR(LEFT(TH!L348,2)="15",LEFT(TH!M348,2)="15"),TK!$E$7=TH!F348),"x","")</f>
        <v/>
      </c>
      <c r="AA690" s="51" t="str">
        <f>IF(AND(B690&lt;=NKC!$N$8,B690&gt;=NKC!$M$8),"x","")</f>
        <v/>
      </c>
      <c r="AB690" s="923"/>
      <c r="AC690" s="589"/>
      <c r="AD690" s="589"/>
      <c r="AF690" s="589"/>
      <c r="AG690" s="589"/>
    </row>
    <row r="691" spans="1:33" s="210" customFormat="1" ht="15.75" hidden="1" customHeight="1">
      <c r="A691" s="203" t="str">
        <f>IF(B691&lt;&gt;"",IF(AND(B691&gt;=_TM1,B691&lt;=_TM2,OR(TH!L691="1111",TH!M691="1111")),TH!D691,""),"")</f>
        <v/>
      </c>
      <c r="B691" s="36" t="str">
        <f t="shared" si="41"/>
        <v/>
      </c>
      <c r="C691" s="183"/>
      <c r="D691" s="190"/>
      <c r="E691" s="190"/>
      <c r="F691" s="191"/>
      <c r="G691" s="479"/>
      <c r="H691" s="44"/>
      <c r="I691" s="256"/>
      <c r="J691" s="255"/>
      <c r="K691" s="37"/>
      <c r="L691" s="193"/>
      <c r="M691" s="598"/>
      <c r="N691" s="51" t="str">
        <f>IF(AND('331-CT'!$E$7=TH!H349,OR(L691="331",M691="331")),"331",IF(AND(OR(L691="131",M691="131"),H691='131-CT'!$E$7),"131",""))</f>
        <v/>
      </c>
      <c r="O691" s="891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IF(OR(TH!L349=TH!$W$7,M691=TH!$W$7),"x","")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IF(AND(OR(LEFT(TH!L349,2)="15",LEFT(TH!M349,2)="15"),'152-CT'!$J$8=TH!F349),"x","")</f>
        <v/>
      </c>
      <c r="Z691" s="51" t="str">
        <f>IF(AND(OR(LEFT(TH!L349,2)="15",LEFT(TH!M349,2)="15"),TK!$E$7=TH!F349),"x","")</f>
        <v/>
      </c>
      <c r="AA691" s="51" t="str">
        <f>IF(AND(B691&lt;=NKC!$N$8,B691&gt;=NKC!$M$8),"x","")</f>
        <v/>
      </c>
      <c r="AB691" s="923"/>
      <c r="AC691" s="589"/>
      <c r="AD691" s="589"/>
    </row>
    <row r="692" spans="1:33" s="210" customFormat="1" ht="15.75" hidden="1" customHeight="1">
      <c r="A692" s="203" t="str">
        <f>IF(B692&lt;&gt;"",IF(AND(B692&gt;=_TM1,B692&lt;=_TM2,OR(TH!L692="1111",TH!M692="1111")),TH!D692,""),"")</f>
        <v/>
      </c>
      <c r="B692" s="36" t="str">
        <f t="shared" si="41"/>
        <v/>
      </c>
      <c r="C692" s="183"/>
      <c r="D692" s="190"/>
      <c r="E692" s="190"/>
      <c r="F692" s="191"/>
      <c r="G692" s="479"/>
      <c r="H692" s="44"/>
      <c r="I692" s="256"/>
      <c r="J692" s="255"/>
      <c r="K692" s="37"/>
      <c r="L692" s="193"/>
      <c r="M692" s="598"/>
      <c r="N692" s="51" t="str">
        <f>IF(AND('331-CT'!$E$7=TH!H350,OR(L692="331",M692="331")),"331",IF(AND(OR(L692="131",M692="131"),H692='131-CT'!$E$7),"131",""))</f>
        <v/>
      </c>
      <c r="O692" s="891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IF(OR(TH!L350=TH!$W$7,M692=TH!$W$7),"x","")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IF(AND(OR(LEFT(TH!L350,2)="15",LEFT(TH!M350,2)="15"),'152-CT'!$J$8=TH!F350),"x","")</f>
        <v/>
      </c>
      <c r="Z692" s="51" t="str">
        <f>IF(AND(OR(LEFT(TH!L350,2)="15",LEFT(TH!M350,2)="15"),TK!$E$7=TH!F350),"x","")</f>
        <v/>
      </c>
      <c r="AA692" s="51" t="str">
        <f>IF(AND(B692&lt;=NKC!$N$8,B692&gt;=NKC!$M$8),"x","")</f>
        <v/>
      </c>
      <c r="AB692" s="923"/>
      <c r="AC692" s="589"/>
      <c r="AD692" s="589"/>
    </row>
    <row r="693" spans="1:33" s="210" customFormat="1" ht="15.75" hidden="1" customHeight="1">
      <c r="A693" s="203" t="str">
        <f>IF(B693&lt;&gt;"",IF(AND(B693&gt;=_TM1,B693&lt;=_TM2,OR(TH!L693="1111",TH!M693="1111")),TH!D693,""),"")</f>
        <v/>
      </c>
      <c r="B693" s="36" t="str">
        <f t="shared" si="41"/>
        <v/>
      </c>
      <c r="C693" s="183"/>
      <c r="D693" s="190"/>
      <c r="E693" s="190"/>
      <c r="F693" s="191"/>
      <c r="G693" s="479"/>
      <c r="H693" s="44"/>
      <c r="I693" s="256"/>
      <c r="J693" s="255"/>
      <c r="K693" s="37"/>
      <c r="L693" s="193"/>
      <c r="M693" s="598"/>
      <c r="N693" s="51" t="str">
        <f>IF(AND('331-CT'!$E$7=TH!H351,OR(L693="331",M693="331")),"331",IF(AND(OR(L693="131",M693="131"),H693='131-CT'!$E$7),"131",""))</f>
        <v/>
      </c>
      <c r="O693" s="891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IF(OR(TH!L351=TH!$W$7,M693=TH!$W$7),"x","")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IF(AND(OR(LEFT(TH!L351,2)="15",LEFT(TH!M351,2)="15"),'152-CT'!$J$8=TH!F351),"x","")</f>
        <v/>
      </c>
      <c r="Z693" s="51" t="str">
        <f>IF(AND(OR(LEFT(TH!L351,2)="15",LEFT(TH!M351,2)="15"),TK!$E$7=TH!F351),"x","")</f>
        <v/>
      </c>
      <c r="AA693" s="51" t="str">
        <f>IF(AND(B693&lt;=NKC!$N$8,B693&gt;=NKC!$M$8),"x","")</f>
        <v/>
      </c>
      <c r="AB693" s="923"/>
      <c r="AC693" s="589"/>
    </row>
    <row r="694" spans="1:33" s="210" customFormat="1" ht="15.75" hidden="1" customHeight="1">
      <c r="A694" s="203" t="str">
        <f>IF(B694&lt;&gt;"",IF(AND(B694&gt;=_TM1,B694&lt;=_TM2,OR(TH!L694="1111",TH!M694="1111")),TH!D694,""),"")</f>
        <v/>
      </c>
      <c r="B694" s="36" t="str">
        <f t="shared" si="41"/>
        <v/>
      </c>
      <c r="C694" s="183"/>
      <c r="D694" s="190"/>
      <c r="E694" s="190"/>
      <c r="F694" s="191"/>
      <c r="G694" s="479"/>
      <c r="H694" s="44"/>
      <c r="I694" s="256"/>
      <c r="J694" s="255"/>
      <c r="K694" s="37"/>
      <c r="L694" s="193"/>
      <c r="M694" s="598"/>
      <c r="N694" s="51" t="str">
        <f>IF(AND('331-CT'!$E$7=TH!H352,OR(L694="331",M694="331")),"331",IF(AND(OR(L694="131",M694="131"),H694='131-CT'!$E$7),"131",""))</f>
        <v/>
      </c>
      <c r="O694" s="891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IF(OR(TH!L352=TH!$W$7,M694=TH!$W$7),"x","")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IF(AND(OR(LEFT(TH!L352,2)="15",LEFT(TH!M352,2)="15"),'152-CT'!$J$8=TH!F352),"x","")</f>
        <v/>
      </c>
      <c r="Z694" s="51" t="str">
        <f>IF(AND(OR(LEFT(TH!L352,2)="15",LEFT(TH!M352,2)="15"),TK!$E$7=TH!F352),"x","")</f>
        <v/>
      </c>
      <c r="AA694" s="51" t="str">
        <f>IF(AND(B694&lt;=NKC!$N$8,B694&gt;=NKC!$M$8),"x","")</f>
        <v/>
      </c>
      <c r="AB694" s="923"/>
      <c r="AC694" s="589"/>
      <c r="AD694" s="589"/>
    </row>
    <row r="695" spans="1:33" s="210" customFormat="1" ht="15.75" hidden="1" customHeight="1">
      <c r="A695" s="203" t="str">
        <f>IF(B695&lt;&gt;"",IF(AND(B695&gt;=_TM1,B695&lt;=_TM2,OR(TH!L695="1111",TH!M695="1111")),TH!D695,""),"")</f>
        <v/>
      </c>
      <c r="B695" s="36" t="str">
        <f t="shared" si="41"/>
        <v/>
      </c>
      <c r="C695" s="183"/>
      <c r="D695" s="190"/>
      <c r="E695" s="190"/>
      <c r="F695" s="191"/>
      <c r="G695" s="479"/>
      <c r="H695" s="44"/>
      <c r="I695" s="255"/>
      <c r="J695" s="255"/>
      <c r="K695" s="37"/>
      <c r="L695" s="193"/>
      <c r="M695" s="598"/>
      <c r="N695" s="51" t="str">
        <f>IF(AND('331-CT'!$E$7=TH!H353,OR(L695="331",M695="331")),"331",IF(AND(OR(L695="131",M695="131"),H695='131-CT'!$E$7),"131",""))</f>
        <v/>
      </c>
      <c r="O695" s="891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IF(OR(TH!L353=TH!$W$7,M695=TH!$W$7),"x","")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IF(AND(OR(LEFT(TH!L353,2)="15",LEFT(TH!M353,2)="15"),'152-CT'!$J$8=TH!F353),"x","")</f>
        <v/>
      </c>
      <c r="Z695" s="51" t="str">
        <f>IF(AND(OR(LEFT(TH!L353,2)="15",LEFT(TH!M353,2)="15"),TK!$E$7=TH!F353),"x","")</f>
        <v/>
      </c>
      <c r="AA695" s="51" t="str">
        <f>IF(AND(B695&lt;=NKC!$N$8,B695&gt;=NKC!$M$8),"x","")</f>
        <v/>
      </c>
      <c r="AB695" s="923"/>
      <c r="AC695" s="589"/>
      <c r="AD695" s="589"/>
      <c r="AF695" s="589"/>
      <c r="AG695" s="589"/>
    </row>
    <row r="696" spans="1:33" s="210" customFormat="1" ht="15.75" hidden="1" customHeight="1">
      <c r="A696" s="203" t="str">
        <f>IF(B696&lt;&gt;"",IF(AND(B696&gt;=_TM1,B696&lt;=_TM2,OR(TH!L696="1111",TH!M696="1111")),TH!D696,""),"")</f>
        <v/>
      </c>
      <c r="B696" s="36" t="str">
        <f t="shared" si="41"/>
        <v/>
      </c>
      <c r="C696" s="183"/>
      <c r="D696" s="190"/>
      <c r="E696" s="190"/>
      <c r="F696" s="191"/>
      <c r="G696" s="481"/>
      <c r="H696" s="7"/>
      <c r="I696" s="255"/>
      <c r="J696" s="255"/>
      <c r="K696" s="37"/>
      <c r="L696" s="193"/>
      <c r="M696" s="193"/>
      <c r="N696" s="51" t="str">
        <f>IF(AND('331-CT'!$E$7=TH!H760,OR(L696="331",M696="331")),"331",IF(AND(OR(L696="131",M696="131"),H696='131-CT'!$E$7),"131",""))</f>
        <v/>
      </c>
      <c r="O696" s="891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IF(OR(TH!L760=TH!$W$7,M696=TH!$W$7),"x","")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IF(AND(OR(LEFT(TH!L760,2)="15",LEFT(TH!M760,2)="15"),'152-CT'!$J$8=TH!F760),"x","")</f>
        <v/>
      </c>
      <c r="Z696" s="51" t="str">
        <f>IF(AND(OR(LEFT(TH!L760,2)="15",LEFT(TH!M760,2)="15"),TK!$E$7=TH!F760),"x","")</f>
        <v/>
      </c>
      <c r="AA696" s="51" t="str">
        <f>IF(AND(B696&lt;=NKC!$N$8,B696&gt;=NKC!$M$8),"x","")</f>
        <v/>
      </c>
      <c r="AB696" s="923"/>
      <c r="AC696" s="589"/>
      <c r="AD696" s="589"/>
    </row>
    <row r="697" spans="1:33" s="210" customFormat="1" ht="15.75" hidden="1" customHeight="1">
      <c r="A697" s="203" t="str">
        <f>IF(B697&lt;&gt;"",IF(AND(B697&gt;=_TM1,B697&lt;=_TM2,OR(TH!L697="1111",TH!M697="1111")),TH!D697,""),"")</f>
        <v/>
      </c>
      <c r="B697" s="36" t="str">
        <f t="shared" si="41"/>
        <v/>
      </c>
      <c r="C697" s="183"/>
      <c r="D697" s="190"/>
      <c r="E697" s="190"/>
      <c r="F697" s="188"/>
      <c r="G697" s="481"/>
      <c r="H697" s="7"/>
      <c r="I697" s="256"/>
      <c r="J697" s="256"/>
      <c r="K697" s="597"/>
      <c r="L697" s="193"/>
      <c r="M697" s="193"/>
      <c r="N697" s="51" t="str">
        <f>IF(AND('331-CT'!$E$7=TH!H761,OR(L697="331",M697="331")),"331",IF(AND(OR(L697="131",M697="131"),H697='131-CT'!$E$7),"131",""))</f>
        <v/>
      </c>
      <c r="O697" s="891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IF(OR(TH!L761=TH!$W$7,M697=TH!$W$7),"x","")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IF(AND(OR(LEFT(TH!L761,2)="15",LEFT(TH!M761,2)="15"),'152-CT'!$J$8=TH!F761),"x","")</f>
        <v/>
      </c>
      <c r="Z697" s="51" t="str">
        <f>IF(AND(OR(LEFT(TH!L761,2)="15",LEFT(TH!M761,2)="15"),TK!$E$7=TH!F761),"x","")</f>
        <v/>
      </c>
      <c r="AA697" s="51" t="str">
        <f>IF(AND(B697&lt;=NKC!$N$8,B697&gt;=NKC!$M$8),"x","")</f>
        <v/>
      </c>
      <c r="AB697" s="923"/>
      <c r="AC697" s="589"/>
    </row>
    <row r="698" spans="1:33" s="210" customFormat="1" ht="15.75" hidden="1" customHeight="1">
      <c r="A698" s="203" t="str">
        <f>IF(B698&lt;&gt;"",IF(AND(B698&gt;=_TM1,B698&lt;=_TM2,OR(TH!L698="1111",TH!M698="1111")),TH!D698,""),"")</f>
        <v/>
      </c>
      <c r="B698" s="36" t="str">
        <f t="shared" si="41"/>
        <v/>
      </c>
      <c r="C698" s="183"/>
      <c r="D698" s="190"/>
      <c r="E698" s="190"/>
      <c r="F698" s="191"/>
      <c r="G698" s="481"/>
      <c r="H698" s="7"/>
      <c r="I698" s="255"/>
      <c r="J698" s="255"/>
      <c r="K698" s="37"/>
      <c r="L698" s="193"/>
      <c r="M698" s="193"/>
      <c r="N698" s="51" t="str">
        <f>IF(AND('331-CT'!$E$7=TH!H762,OR(L698="331",M698="331")),"331",IF(AND(OR(L698="131",M698="131"),H698='131-CT'!$E$7),"131",""))</f>
        <v/>
      </c>
      <c r="O698" s="891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IF(OR(TH!L762=TH!$W$7,M698=TH!$W$7),"x","")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IF(AND(OR(LEFT(TH!L762,2)="15",LEFT(TH!M762,2)="15"),'152-CT'!$J$8=TH!F762),"x","")</f>
        <v/>
      </c>
      <c r="Z698" s="51" t="str">
        <f>IF(AND(OR(LEFT(TH!L762,2)="15",LEFT(TH!M762,2)="15"),TK!$E$7=TH!F762),"x","")</f>
        <v/>
      </c>
      <c r="AA698" s="51" t="str">
        <f>IF(AND(B698&lt;=NKC!$N$8,B698&gt;=NKC!$M$8),"x","")</f>
        <v/>
      </c>
      <c r="AB698" s="923"/>
      <c r="AC698" s="589"/>
      <c r="AD698" s="589"/>
    </row>
    <row r="699" spans="1:33" s="210" customFormat="1" ht="15.75" hidden="1" customHeight="1">
      <c r="A699" s="203" t="str">
        <f>IF(B699&lt;&gt;"",IF(AND(B699&gt;=_TM1,B699&lt;=_TM2,OR(TH!L699="1111",TH!M699="1111")),TH!D699,""),"")</f>
        <v/>
      </c>
      <c r="B699" s="36" t="str">
        <f t="shared" si="41"/>
        <v/>
      </c>
      <c r="C699" s="183"/>
      <c r="D699" s="190"/>
      <c r="E699" s="190"/>
      <c r="F699" s="191"/>
      <c r="G699" s="481"/>
      <c r="H699" s="7"/>
      <c r="I699" s="255"/>
      <c r="J699" s="255"/>
      <c r="K699" s="37"/>
      <c r="L699" s="193"/>
      <c r="M699" s="193"/>
      <c r="N699" s="51" t="str">
        <f>IF(AND('331-CT'!$E$7=TH!H763,OR(L699="331",M699="331")),"331",IF(AND(OR(L699="131",M699="131"),H699='131-CT'!$E$7),"131",""))</f>
        <v/>
      </c>
      <c r="O699" s="891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IF(OR(TH!L763=TH!$W$7,M699=TH!$W$7),"x","")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IF(AND(OR(LEFT(TH!L763,2)="15",LEFT(TH!M763,2)="15"),'152-CT'!$J$8=TH!F763),"x","")</f>
        <v/>
      </c>
      <c r="Z699" s="51" t="str">
        <f>IF(AND(OR(LEFT(TH!L763,2)="15",LEFT(TH!M763,2)="15"),TK!$E$7=TH!F763),"x","")</f>
        <v/>
      </c>
      <c r="AA699" s="51" t="str">
        <f>IF(AND(B699&lt;=NKC!$N$8,B699&gt;=NKC!$M$8),"x","")</f>
        <v/>
      </c>
      <c r="AB699" s="923"/>
      <c r="AC699" s="589"/>
    </row>
    <row r="700" spans="1:33" s="210" customFormat="1" ht="15.75" hidden="1" customHeight="1">
      <c r="A700" s="203" t="str">
        <f>IF(B700&lt;&gt;"",IF(AND(B700&gt;=_TM1,B700&lt;=_TM2,OR(TH!L700="1111",TH!M700="1111")),TH!D700,""),"")</f>
        <v/>
      </c>
      <c r="B700" s="36" t="str">
        <f t="shared" si="41"/>
        <v/>
      </c>
      <c r="C700" s="183"/>
      <c r="D700" s="190"/>
      <c r="E700" s="190"/>
      <c r="F700" s="191"/>
      <c r="G700" s="481"/>
      <c r="H700" s="7"/>
      <c r="I700" s="255"/>
      <c r="J700" s="255"/>
      <c r="K700" s="597"/>
      <c r="L700" s="193"/>
      <c r="M700" s="193"/>
      <c r="N700" s="51" t="str">
        <f>IF(AND('331-CT'!$E$7=TH!H764,OR(L700="331",M700="331")),"331",IF(AND(OR(L700="131",M700="131"),H700='131-CT'!$E$7),"131",""))</f>
        <v/>
      </c>
      <c r="O700" s="891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IF(OR(TH!L764=TH!$W$7,M700=TH!$W$7),"x","")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IF(AND(OR(LEFT(TH!L764,2)="15",LEFT(TH!M764,2)="15"),'152-CT'!$J$8=TH!F764),"x","")</f>
        <v/>
      </c>
      <c r="Z700" s="51" t="str">
        <f>IF(AND(OR(LEFT(TH!L764,2)="15",LEFT(TH!M764,2)="15"),TK!$E$7=TH!F764),"x","")</f>
        <v/>
      </c>
      <c r="AA700" s="51" t="str">
        <f>IF(AND(B700&lt;=NKC!$N$8,B700&gt;=NKC!$M$8),"x","")</f>
        <v/>
      </c>
      <c r="AB700" s="923"/>
      <c r="AC700" s="589"/>
      <c r="AD700" s="589"/>
    </row>
    <row r="701" spans="1:33" s="210" customFormat="1" ht="15.75" hidden="1" customHeight="1">
      <c r="A701" s="203" t="str">
        <f>IF(B701&lt;&gt;"",IF(AND(B701&gt;=_TM1,B701&lt;=_TM2,OR(TH!L701="1111",TH!M701="1111")),TH!D701,""),"")</f>
        <v/>
      </c>
      <c r="B701" s="36" t="str">
        <f t="shared" si="41"/>
        <v/>
      </c>
      <c r="C701" s="183"/>
      <c r="D701" s="190"/>
      <c r="E701" s="190"/>
      <c r="F701" s="188"/>
      <c r="G701" s="481"/>
      <c r="H701" s="7"/>
      <c r="I701" s="255"/>
      <c r="J701" s="255"/>
      <c r="K701" s="37"/>
      <c r="L701" s="193"/>
      <c r="M701" s="193"/>
      <c r="N701" s="51" t="str">
        <f>IF(AND('331-CT'!$E$7=TH!H765,OR(L701="331",M701="331")),"331",IF(AND(OR(L701="131",M701="131"),H701='131-CT'!$E$7),"131",""))</f>
        <v/>
      </c>
      <c r="O701" s="891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IF(OR(TH!L765=TH!$W$7,M701=TH!$W$7),"x","")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IF(AND(OR(LEFT(TH!L765,2)="15",LEFT(TH!M765,2)="15"),'152-CT'!$J$8=TH!F765),"x","")</f>
        <v/>
      </c>
      <c r="Z701" s="51" t="str">
        <f>IF(AND(OR(LEFT(TH!L765,2)="15",LEFT(TH!M765,2)="15"),TK!$E$7=TH!F765),"x","")</f>
        <v/>
      </c>
      <c r="AA701" s="51" t="str">
        <f>IF(AND(B701&lt;=NKC!$N$8,B701&gt;=NKC!$M$8),"x","")</f>
        <v/>
      </c>
      <c r="AB701" s="923"/>
      <c r="AC701" s="589"/>
    </row>
    <row r="702" spans="1:33" s="210" customFormat="1" ht="15.75" hidden="1" customHeight="1">
      <c r="A702" s="203" t="str">
        <f>IF(B702&lt;&gt;"",IF(AND(B702&gt;=_TM1,B702&lt;=_TM2,OR(TH!L702="1111",TH!M702="1111")),TH!D702,""),"")</f>
        <v/>
      </c>
      <c r="B702" s="36" t="str">
        <f t="shared" si="41"/>
        <v/>
      </c>
      <c r="C702" s="183"/>
      <c r="D702" s="190"/>
      <c r="E702" s="190"/>
      <c r="F702" s="296"/>
      <c r="G702" s="481"/>
      <c r="H702" s="7"/>
      <c r="I702" s="255"/>
      <c r="J702" s="255"/>
      <c r="K702" s="37"/>
      <c r="L702" s="193"/>
      <c r="M702" s="193"/>
      <c r="N702" s="51" t="str">
        <f>IF(AND('331-CT'!$E$7=TH!H766,OR(L702="331",M702="331")),"331",IF(AND(OR(L702="131",M702="131"),H702='131-CT'!$E$7),"131",""))</f>
        <v/>
      </c>
      <c r="O702" s="891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IF(OR(TH!L766=TH!$W$7,M702=TH!$W$7),"x","")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IF(AND(OR(LEFT(TH!L766,2)="15",LEFT(TH!M766,2)="15"),'152-CT'!$J$8=TH!F766),"x","")</f>
        <v/>
      </c>
      <c r="Z702" s="51" t="str">
        <f>IF(AND(OR(LEFT(TH!L766,2)="15",LEFT(TH!M766,2)="15"),TK!$E$7=TH!F766),"x","")</f>
        <v/>
      </c>
      <c r="AA702" s="51" t="str">
        <f>IF(AND(B702&lt;=NKC!$N$8,B702&gt;=NKC!$M$8),"x","")</f>
        <v/>
      </c>
      <c r="AB702" s="923"/>
      <c r="AC702" s="589"/>
      <c r="AD702" s="589"/>
    </row>
    <row r="703" spans="1:33" s="210" customFormat="1" ht="15.75" hidden="1" customHeight="1">
      <c r="A703" s="203" t="str">
        <f>IF(B703&lt;&gt;"",IF(AND(B703&gt;=_TM1,B703&lt;=_TM2,OR(TH!L703="1111",TH!M703="1111")),TH!D703,""),"")</f>
        <v/>
      </c>
      <c r="B703" s="36" t="str">
        <f t="shared" si="41"/>
        <v/>
      </c>
      <c r="C703" s="183"/>
      <c r="D703" s="190"/>
      <c r="E703" s="183"/>
      <c r="F703" s="188"/>
      <c r="G703" s="599"/>
      <c r="H703" s="192"/>
      <c r="I703" s="255"/>
      <c r="J703" s="255"/>
      <c r="K703" s="597"/>
      <c r="L703" s="193"/>
      <c r="M703" s="193"/>
      <c r="N703" s="51" t="str">
        <f>IF(AND('331-CT'!$E$7=TH!H767,OR(L703="331",M703="331")),"331",IF(AND(OR(L703="131",M703="131"),H703='131-CT'!$E$7),"131",""))</f>
        <v/>
      </c>
      <c r="O703" s="891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IF(OR(TH!L767=TH!$W$7,M703=TH!$W$7),"x","")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IF(AND(OR(LEFT(TH!L767,2)="15",LEFT(TH!M767,2)="15"),'152-CT'!$J$8=TH!F767),"x","")</f>
        <v/>
      </c>
      <c r="Z703" s="51" t="str">
        <f>IF(AND(OR(LEFT(TH!L767,2)="15",LEFT(TH!M767,2)="15"),TK!$E$7=TH!F767),"x","")</f>
        <v/>
      </c>
      <c r="AA703" s="51" t="str">
        <f>IF(AND(B703&lt;=NKC!$N$8,B703&gt;=NKC!$M$8),"x","")</f>
        <v/>
      </c>
      <c r="AB703" s="923"/>
      <c r="AC703" s="589"/>
    </row>
    <row r="704" spans="1:33" s="210" customFormat="1" ht="15.75" hidden="1" customHeight="1">
      <c r="A704" s="203" t="str">
        <f>IF(B704&lt;&gt;"",IF(AND(B704&gt;=_TM1,B704&lt;=_TM2,OR(TH!L704="1111",TH!M704="1111")),TH!D704,""),"")</f>
        <v/>
      </c>
      <c r="B704" s="36" t="str">
        <f t="shared" si="41"/>
        <v/>
      </c>
      <c r="C704" s="183"/>
      <c r="D704" s="190"/>
      <c r="E704" s="190"/>
      <c r="F704" s="191"/>
      <c r="G704" s="481"/>
      <c r="H704" s="192"/>
      <c r="I704" s="255"/>
      <c r="J704" s="257"/>
      <c r="K704" s="37"/>
      <c r="L704" s="193"/>
      <c r="M704" s="193"/>
      <c r="N704" s="51" t="str">
        <f>IF(AND('331-CT'!$E$7=TH!H374,OR(L704="331",M704="331")),"331",IF(AND(OR(L704="131",M704="131"),H704='131-CT'!$E$7),"131",""))</f>
        <v/>
      </c>
      <c r="O704" s="891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IF(OR(TH!L374=TH!$W$7,M704=TH!$W$7),"x","")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IF(AND(OR(LEFT(TH!L374,2)="15",LEFT(TH!M374,2)="15"),'152-CT'!$J$8=TH!F374),"x","")</f>
        <v/>
      </c>
      <c r="Z704" s="51" t="str">
        <f>IF(AND(OR(LEFT(TH!L374,2)="15",LEFT(TH!M374,2)="15"),TK!$E$7=TH!F374),"x","")</f>
        <v/>
      </c>
      <c r="AA704" s="51" t="str">
        <f>IF(AND(B704&lt;=NKC!$N$8,B704&gt;=NKC!$M$8),"x","")</f>
        <v/>
      </c>
      <c r="AB704" s="923"/>
      <c r="AC704" s="589"/>
      <c r="AF704" s="589"/>
      <c r="AG704" s="589"/>
    </row>
    <row r="705" spans="1:33" s="210" customFormat="1" ht="15.75" hidden="1" customHeight="1">
      <c r="A705" s="203" t="str">
        <f>IF(B705&lt;&gt;"",IF(AND(B705&gt;=_TM1,B705&lt;=_TM2,OR(TH!L705="1111",TH!M705="1111")),TH!D705,""),"")</f>
        <v/>
      </c>
      <c r="B705" s="36" t="str">
        <f t="shared" si="41"/>
        <v/>
      </c>
      <c r="C705" s="183"/>
      <c r="D705" s="190"/>
      <c r="E705" s="190"/>
      <c r="F705" s="191"/>
      <c r="G705" s="481"/>
      <c r="H705" s="782"/>
      <c r="I705" s="256"/>
      <c r="J705" s="256"/>
      <c r="K705" s="37"/>
      <c r="L705" s="193"/>
      <c r="M705" s="193"/>
      <c r="N705" s="51" t="str">
        <f>IF(AND('331-CT'!$E$7=TH!H768,OR(L705="331",M705="331")),"331",IF(AND(OR(L705="131",M705="131"),H705='131-CT'!$E$7),"131",""))</f>
        <v/>
      </c>
      <c r="O705" s="891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IF(OR(TH!L768=TH!$W$7,M705=TH!$W$7),"x","")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IF(AND(OR(LEFT(TH!L768,2)="15",LEFT(TH!M768,2)="15"),'152-CT'!$J$8=TH!F768),"x","")</f>
        <v/>
      </c>
      <c r="Z705" s="51" t="str">
        <f>IF(AND(OR(LEFT(TH!L768,2)="15",LEFT(TH!M768,2)="15"),TK!$E$7=TH!F768),"x","")</f>
        <v/>
      </c>
      <c r="AA705" s="51" t="str">
        <f>IF(AND(B705&lt;=NKC!$N$8,B705&gt;=NKC!$M$8),"x","")</f>
        <v/>
      </c>
      <c r="AB705" s="923"/>
      <c r="AC705" s="589"/>
      <c r="AD705" s="589"/>
    </row>
    <row r="706" spans="1:33" s="210" customFormat="1" ht="15.75" hidden="1" customHeight="1">
      <c r="A706" s="203" t="str">
        <f>IF(B706&lt;&gt;"",IF(AND(B706&gt;=_TM1,B706&lt;=_TM2,OR(TH!L706="1111",TH!M706="1111")),TH!D706,""),"")</f>
        <v/>
      </c>
      <c r="B706" s="36" t="str">
        <f t="shared" si="41"/>
        <v/>
      </c>
      <c r="C706" s="183"/>
      <c r="D706" s="190"/>
      <c r="E706" s="190"/>
      <c r="F706" s="191"/>
      <c r="G706" s="481"/>
      <c r="H706" s="782"/>
      <c r="I706" s="255"/>
      <c r="J706" s="255"/>
      <c r="K706" s="37"/>
      <c r="L706" s="193"/>
      <c r="M706" s="193"/>
      <c r="N706" s="51" t="str">
        <f>IF(AND('331-CT'!$E$7=TH!H769,OR(L706="331",M706="331")),"331",IF(AND(OR(L706="131",M706="131"),H706='131-CT'!$E$7),"131",""))</f>
        <v/>
      </c>
      <c r="O706" s="891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IF(OR(TH!L769=TH!$W$7,M706=TH!$W$7),"x","")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IF(AND(OR(LEFT(TH!L769,2)="15",LEFT(TH!M769,2)="15"),'152-CT'!$J$8=TH!F769),"x","")</f>
        <v/>
      </c>
      <c r="Z706" s="51" t="str">
        <f>IF(AND(OR(LEFT(TH!L769,2)="15",LEFT(TH!M769,2)="15"),TK!$E$7=TH!F769),"x","")</f>
        <v/>
      </c>
      <c r="AA706" s="51" t="str">
        <f>IF(AND(B706&lt;=NKC!$N$8,B706&gt;=NKC!$M$8),"x","")</f>
        <v/>
      </c>
      <c r="AB706" s="923"/>
      <c r="AC706" s="589"/>
    </row>
    <row r="707" spans="1:33" s="210" customFormat="1" ht="15.75" hidden="1" customHeight="1">
      <c r="A707" s="203" t="str">
        <f>IF(B707&lt;&gt;"",IF(AND(B707&gt;=_TM1,B707&lt;=_TM2,OR(TH!L707="1111",TH!M707="1111")),TH!D707,""),"")</f>
        <v/>
      </c>
      <c r="B707" s="36" t="str">
        <f t="shared" si="41"/>
        <v/>
      </c>
      <c r="C707" s="183"/>
      <c r="D707" s="190"/>
      <c r="E707" s="183"/>
      <c r="F707" s="188"/>
      <c r="G707" s="599"/>
      <c r="H707" s="7"/>
      <c r="I707" s="255"/>
      <c r="J707" s="255"/>
      <c r="K707" s="37"/>
      <c r="L707" s="193"/>
      <c r="M707" s="193"/>
      <c r="N707" s="51" t="str">
        <f>IF(AND('331-CT'!$E$7=TH!H770,OR(L707="331",M707="331")),"331",IF(AND(OR(L707="131",M707="131"),H707='131-CT'!$E$7),"131",""))</f>
        <v/>
      </c>
      <c r="O707" s="891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IF(OR(TH!L770=TH!$W$7,M707=TH!$W$7),"x","")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IF(AND(OR(LEFT(TH!L770,2)="15",LEFT(TH!M770,2)="15"),'152-CT'!$J$8=TH!F770),"x","")</f>
        <v/>
      </c>
      <c r="Z707" s="51" t="str">
        <f>IF(AND(OR(LEFT(TH!L770,2)="15",LEFT(TH!M770,2)="15"),TK!$E$7=TH!F770),"x","")</f>
        <v/>
      </c>
      <c r="AA707" s="51" t="str">
        <f>IF(AND(B707&lt;=NKC!$N$8,B707&gt;=NKC!$M$8),"x","")</f>
        <v/>
      </c>
      <c r="AB707" s="923"/>
      <c r="AC707" s="589"/>
      <c r="AD707" s="589"/>
    </row>
    <row r="708" spans="1:33" s="210" customFormat="1" ht="15.75" hidden="1" customHeight="1">
      <c r="A708" s="203" t="str">
        <f>IF(B708&lt;&gt;"",IF(AND(B708&gt;=_TM1,B708&lt;=_TM2,OR(TH!L708="1111",TH!M708="1111")),TH!D708,""),"")</f>
        <v/>
      </c>
      <c r="B708" s="36" t="str">
        <f t="shared" si="41"/>
        <v/>
      </c>
      <c r="C708" s="183"/>
      <c r="D708" s="190"/>
      <c r="E708" s="183"/>
      <c r="F708" s="188"/>
      <c r="G708" s="599"/>
      <c r="H708" s="7"/>
      <c r="I708" s="255"/>
      <c r="J708" s="255"/>
      <c r="K708" s="597"/>
      <c r="L708" s="193"/>
      <c r="M708" s="193"/>
      <c r="N708" s="51" t="str">
        <f>IF(AND('331-CT'!$E$7=TH!H771,OR(L708="331",M708="331")),"331",IF(AND(OR(L708="131",M708="131"),H708='131-CT'!$E$7),"131",""))</f>
        <v/>
      </c>
      <c r="O708" s="891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IF(OR(TH!L771=TH!$W$7,M708=TH!$W$7),"x","")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IF(AND(OR(LEFT(TH!L771,2)="15",LEFT(TH!M771,2)="15"),'152-CT'!$J$8=TH!F771),"x","")</f>
        <v/>
      </c>
      <c r="Z708" s="51" t="str">
        <f>IF(AND(OR(LEFT(TH!L771,2)="15",LEFT(TH!M771,2)="15"),TK!$E$7=TH!F771),"x","")</f>
        <v/>
      </c>
      <c r="AA708" s="51" t="str">
        <f>IF(AND(B708&lt;=NKC!$N$8,B708&gt;=NKC!$M$8),"x","")</f>
        <v/>
      </c>
      <c r="AB708" s="923"/>
      <c r="AC708" s="589"/>
      <c r="AD708" s="589"/>
    </row>
    <row r="709" spans="1:33" s="210" customFormat="1" ht="15.75" hidden="1" customHeight="1">
      <c r="A709" s="203" t="str">
        <f>IF(B709&lt;&gt;"",IF(AND(B709&gt;=_TM1,B709&lt;=_TM2,OR(TH!L709="1111",TH!M709="1111")),TH!D709,""),"")</f>
        <v/>
      </c>
      <c r="B709" s="36" t="str">
        <f t="shared" ref="B709:B772" si="42">IF(C709&lt;&gt;"",MONTH(C709),"")</f>
        <v/>
      </c>
      <c r="C709" s="183"/>
      <c r="D709" s="190"/>
      <c r="E709" s="190"/>
      <c r="F709" s="188"/>
      <c r="G709" s="481"/>
      <c r="H709" s="7"/>
      <c r="I709" s="256"/>
      <c r="J709" s="256"/>
      <c r="K709" s="37"/>
      <c r="L709" s="193"/>
      <c r="M709" s="193"/>
      <c r="N709" s="51" t="str">
        <f>IF(AND('331-CT'!$E$7=TH!H772,OR(L709="331",M709="331")),"331",IF(AND(OR(L709="131",M709="131"),H709='131-CT'!$E$7),"131",""))</f>
        <v/>
      </c>
      <c r="O709" s="891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IF(OR(TH!L772=TH!$W$7,M709=TH!$W$7),"x","")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IF(AND(OR(LEFT(TH!L772,2)="15",LEFT(TH!M772,2)="15"),'152-CT'!$J$8=TH!F772),"x","")</f>
        <v/>
      </c>
      <c r="Z709" s="51" t="str">
        <f>IF(AND(OR(LEFT(TH!L772,2)="15",LEFT(TH!M772,2)="15"),TK!$E$7=TH!F772),"x","")</f>
        <v/>
      </c>
      <c r="AA709" s="51" t="str">
        <f>IF(AND(B709&lt;=NKC!$N$8,B709&gt;=NKC!$M$8),"x","")</f>
        <v/>
      </c>
      <c r="AB709" s="923"/>
      <c r="AC709" s="589"/>
      <c r="AD709" s="589"/>
    </row>
    <row r="710" spans="1:33" s="210" customFormat="1" ht="15.75" hidden="1" customHeight="1">
      <c r="A710" s="203" t="str">
        <f>IF(B710&lt;&gt;"",IF(AND(B710&gt;=_TM1,B710&lt;=_TM2,OR(TH!L710="1111",TH!M710="1111")),TH!D710,""),"")</f>
        <v/>
      </c>
      <c r="B710" s="36" t="str">
        <f t="shared" si="42"/>
        <v/>
      </c>
      <c r="C710" s="183"/>
      <c r="D710" s="190"/>
      <c r="E710" s="190"/>
      <c r="F710" s="188"/>
      <c r="G710" s="481"/>
      <c r="H710" s="7"/>
      <c r="I710" s="256"/>
      <c r="J710" s="256"/>
      <c r="K710" s="597"/>
      <c r="L710" s="193"/>
      <c r="M710" s="193"/>
      <c r="N710" s="51" t="str">
        <f>IF(AND('331-CT'!$E$7=TH!H773,OR(L710="331",M710="331")),"331",IF(AND(OR(L710="131",M710="131"),H710='131-CT'!$E$7),"131",""))</f>
        <v/>
      </c>
      <c r="O710" s="891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IF(OR(TH!L773=TH!$W$7,M710=TH!$W$7),"x","")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IF(AND(OR(LEFT(TH!L773,2)="15",LEFT(TH!M773,2)="15"),'152-CT'!$J$8=TH!F773),"x","")</f>
        <v/>
      </c>
      <c r="Z710" s="51" t="str">
        <f>IF(AND(OR(LEFT(TH!L773,2)="15",LEFT(TH!M773,2)="15"),TK!$E$7=TH!F773),"x","")</f>
        <v/>
      </c>
      <c r="AA710" s="51" t="str">
        <f>IF(AND(B710&lt;=NKC!$N$8,B710&gt;=NKC!$M$8),"x","")</f>
        <v/>
      </c>
      <c r="AB710" s="923"/>
      <c r="AC710" s="589"/>
      <c r="AD710" s="589"/>
    </row>
    <row r="711" spans="1:33" s="210" customFormat="1" ht="15.75" hidden="1" customHeight="1">
      <c r="A711" s="203" t="str">
        <f>IF(B711&lt;&gt;"",IF(AND(B711&gt;=_TM1,B711&lt;=_TM2,OR(TH!L711="1111",TH!M711="1111")),TH!D711,""),"")</f>
        <v/>
      </c>
      <c r="B711" s="36" t="str">
        <f t="shared" si="42"/>
        <v/>
      </c>
      <c r="C711" s="183"/>
      <c r="D711" s="190"/>
      <c r="E711" s="190"/>
      <c r="F711" s="191"/>
      <c r="G711" s="481"/>
      <c r="H711" s="192"/>
      <c r="I711" s="255"/>
      <c r="J711" s="257"/>
      <c r="K711" s="37"/>
      <c r="L711" s="193"/>
      <c r="M711" s="193"/>
      <c r="N711" s="51" t="str">
        <f>IF(AND('331-CT'!$E$7=TH!H375,OR(L711="331",M711="331")),"331",IF(AND(OR(L711="131",M711="131"),H711='131-CT'!$E$7),"131",""))</f>
        <v/>
      </c>
      <c r="O711" s="891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IF(OR(TH!L375=TH!$W$7,M711=TH!$W$7),"x","")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IF(AND(OR(LEFT(TH!L375,2)="15",LEFT(TH!M375,2)="15"),'152-CT'!$J$8=TH!F375),"x","")</f>
        <v/>
      </c>
      <c r="Z711" s="51" t="str">
        <f>IF(AND(OR(LEFT(TH!L375,2)="15",LEFT(TH!M375,2)="15"),TK!$E$7=TH!F375),"x","")</f>
        <v/>
      </c>
      <c r="AA711" s="51" t="str">
        <f>IF(AND(B711&lt;=NKC!$N$8,B711&gt;=NKC!$M$8),"x","")</f>
        <v/>
      </c>
      <c r="AB711" s="923"/>
      <c r="AC711" s="589"/>
      <c r="AD711" s="589"/>
      <c r="AF711" s="589"/>
      <c r="AG711" s="589"/>
    </row>
    <row r="712" spans="1:33" s="210" customFormat="1" ht="15.75" hidden="1" customHeight="1">
      <c r="A712" s="203" t="str">
        <f>IF(B712&lt;&gt;"",IF(AND(B712&gt;=_TM1,B712&lt;=_TM2,OR(TH!L712="1111",TH!M712="1111")),TH!D712,""),"")</f>
        <v/>
      </c>
      <c r="B712" s="36" t="str">
        <f t="shared" si="42"/>
        <v/>
      </c>
      <c r="C712" s="183"/>
      <c r="D712" s="190"/>
      <c r="E712" s="190"/>
      <c r="F712" s="191"/>
      <c r="G712" s="481"/>
      <c r="H712" s="192"/>
      <c r="I712" s="255"/>
      <c r="J712" s="257"/>
      <c r="K712" s="37"/>
      <c r="L712" s="193"/>
      <c r="M712" s="193"/>
      <c r="N712" s="51" t="str">
        <f>IF(AND('331-CT'!$E$7=TH!H376,OR(L712="331",M712="331")),"331",IF(AND(OR(L712="131",M712="131"),H712='131-CT'!$E$7),"131",""))</f>
        <v/>
      </c>
      <c r="O712" s="891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IF(OR(TH!L376=TH!$W$7,M712=TH!$W$7),"x","")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IF(AND(OR(LEFT(TH!L376,2)="15",LEFT(TH!M376,2)="15"),'152-CT'!$J$8=TH!F376),"x","")</f>
        <v/>
      </c>
      <c r="Z712" s="51" t="str">
        <f>IF(AND(OR(LEFT(TH!L376,2)="15",LEFT(TH!M376,2)="15"),TK!$E$7=TH!F376),"x","")</f>
        <v/>
      </c>
      <c r="AA712" s="51" t="str">
        <f>IF(AND(B712&lt;=NKC!$N$8,B712&gt;=NKC!$M$8),"x","")</f>
        <v/>
      </c>
      <c r="AB712" s="923"/>
      <c r="AC712" s="589"/>
      <c r="AD712" s="589"/>
      <c r="AF712" s="589"/>
      <c r="AG712" s="589"/>
    </row>
    <row r="713" spans="1:33" s="210" customFormat="1" ht="15.75" hidden="1" customHeight="1">
      <c r="A713" s="203" t="str">
        <f>IF(B713&lt;&gt;"",IF(AND(B713&gt;=_TM1,B713&lt;=_TM2,OR(TH!L713="1111",TH!M713="1111")),TH!D713,""),"")</f>
        <v/>
      </c>
      <c r="B713" s="36" t="str">
        <f t="shared" si="42"/>
        <v/>
      </c>
      <c r="C713" s="183"/>
      <c r="D713" s="190"/>
      <c r="E713" s="190"/>
      <c r="F713" s="191"/>
      <c r="G713" s="481"/>
      <c r="H713" s="192"/>
      <c r="I713" s="255"/>
      <c r="J713" s="257"/>
      <c r="K713" s="37"/>
      <c r="L713" s="193"/>
      <c r="M713" s="193"/>
      <c r="N713" s="51" t="str">
        <f>IF(AND('331-CT'!$E$7=TH!H377,OR(L713="331",M713="331")),"331",IF(AND(OR(L713="131",M713="131"),H713='131-CT'!$E$7),"131",""))</f>
        <v/>
      </c>
      <c r="O713" s="891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IF(OR(TH!L377=TH!$W$7,M713=TH!$W$7),"x","")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IF(AND(OR(LEFT(TH!L377,2)="15",LEFT(TH!M377,2)="15"),'152-CT'!$J$8=TH!F377),"x","")</f>
        <v/>
      </c>
      <c r="Z713" s="51" t="str">
        <f>IF(AND(OR(LEFT(TH!L377,2)="15",LEFT(TH!M377,2)="15"),TK!$E$7=TH!F377),"x","")</f>
        <v/>
      </c>
      <c r="AA713" s="51" t="str">
        <f>IF(AND(B713&lt;=NKC!$N$8,B713&gt;=NKC!$M$8),"x","")</f>
        <v/>
      </c>
      <c r="AB713" s="923"/>
      <c r="AC713" s="589"/>
      <c r="AD713" s="589"/>
      <c r="AF713" s="589"/>
      <c r="AG713" s="589"/>
    </row>
    <row r="714" spans="1:33" s="210" customFormat="1" ht="15.75" hidden="1" customHeight="1">
      <c r="A714" s="203" t="str">
        <f>IF(B714&lt;&gt;"",IF(AND(B714&gt;=_TM1,B714&lt;=_TM2,OR(TH!L714="1111",TH!M714="1111")),TH!D714,""),"")</f>
        <v/>
      </c>
      <c r="B714" s="36" t="str">
        <f t="shared" si="42"/>
        <v/>
      </c>
      <c r="C714" s="183"/>
      <c r="D714" s="190"/>
      <c r="E714" s="190"/>
      <c r="F714" s="191"/>
      <c r="G714" s="481"/>
      <c r="H714" s="192"/>
      <c r="I714" s="255"/>
      <c r="J714" s="257"/>
      <c r="K714" s="37"/>
      <c r="L714" s="193"/>
      <c r="M714" s="193"/>
      <c r="N714" s="51" t="str">
        <f>IF(AND('331-CT'!$E$7=TH!H378,OR(L714="331",M714="331")),"331",IF(AND(OR(L714="131",M714="131"),H714='131-CT'!$E$7),"131",""))</f>
        <v/>
      </c>
      <c r="O714" s="891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IF(OR(TH!L378=TH!$W$7,M714=TH!$W$7),"x","")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IF(AND(OR(LEFT(TH!L378,2)="15",LEFT(TH!M378,2)="15"),'152-CT'!$J$8=TH!F378),"x","")</f>
        <v/>
      </c>
      <c r="Z714" s="51" t="str">
        <f>IF(AND(OR(LEFT(TH!L378,2)="15",LEFT(TH!M378,2)="15"),TK!$E$7=TH!F378),"x","")</f>
        <v/>
      </c>
      <c r="AA714" s="51" t="str">
        <f>IF(AND(B714&lt;=NKC!$N$8,B714&gt;=NKC!$M$8),"x","")</f>
        <v/>
      </c>
      <c r="AB714" s="923"/>
      <c r="AC714" s="589"/>
      <c r="AD714" s="589"/>
      <c r="AF714" s="589"/>
      <c r="AG714" s="589"/>
    </row>
    <row r="715" spans="1:33" s="210" customFormat="1" ht="15.75" hidden="1" customHeight="1">
      <c r="A715" s="203" t="str">
        <f>IF(B715&lt;&gt;"",IF(AND(B715&gt;=_TM1,B715&lt;=_TM2,OR(TH!L715="1111",TH!M715="1111")),TH!D715,""),"")</f>
        <v/>
      </c>
      <c r="B715" s="36" t="str">
        <f t="shared" si="42"/>
        <v/>
      </c>
      <c r="C715" s="183"/>
      <c r="D715" s="190"/>
      <c r="E715" s="190"/>
      <c r="F715" s="191"/>
      <c r="G715" s="481"/>
      <c r="H715" s="192"/>
      <c r="I715" s="256"/>
      <c r="J715" s="257"/>
      <c r="K715" s="37"/>
      <c r="L715" s="193"/>
      <c r="M715" s="193"/>
      <c r="N715" s="51" t="str">
        <f>IF(AND('331-CT'!$E$7=TH!H379,OR(L715="331",M715="331")),"331",IF(AND(OR(L715="131",M715="131"),H715='131-CT'!$E$7),"131",""))</f>
        <v/>
      </c>
      <c r="O715" s="891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IF(OR(TH!L379=TH!$W$7,M715=TH!$W$7),"x","")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IF(AND(OR(LEFT(TH!L379,2)="15",LEFT(TH!M379,2)="15"),'152-CT'!$J$8=TH!F379),"x","")</f>
        <v/>
      </c>
      <c r="Z715" s="51" t="str">
        <f>IF(AND(OR(LEFT(TH!L379,2)="15",LEFT(TH!M379,2)="15"),TK!$E$7=TH!F379),"x","")</f>
        <v/>
      </c>
      <c r="AA715" s="51" t="str">
        <f>IF(AND(B715&lt;=NKC!$N$8,B715&gt;=NKC!$M$8),"x","")</f>
        <v/>
      </c>
      <c r="AB715" s="923"/>
      <c r="AC715" s="589"/>
      <c r="AD715" s="589"/>
      <c r="AF715" s="589"/>
      <c r="AG715" s="589"/>
    </row>
    <row r="716" spans="1:33" s="210" customFormat="1" ht="15.75" hidden="1" customHeight="1">
      <c r="A716" s="203" t="str">
        <f>IF(B716&lt;&gt;"",IF(AND(B716&gt;=_TM1,B716&lt;=_TM2,OR(TH!L716="1111",TH!M716="1111")),TH!D716,""),"")</f>
        <v/>
      </c>
      <c r="B716" s="36" t="str">
        <f t="shared" si="42"/>
        <v/>
      </c>
      <c r="C716" s="183"/>
      <c r="D716" s="190"/>
      <c r="E716" s="190"/>
      <c r="F716" s="191"/>
      <c r="G716" s="481"/>
      <c r="H716" s="192"/>
      <c r="I716" s="256"/>
      <c r="J716" s="257"/>
      <c r="K716" s="37"/>
      <c r="L716" s="193"/>
      <c r="M716" s="193"/>
      <c r="N716" s="51" t="str">
        <f>IF(AND('331-CT'!$E$7=TH!H380,OR(L716="331",M716="331")),"331",IF(AND(OR(L716="131",M716="131"),H716='131-CT'!$E$7),"131",""))</f>
        <v/>
      </c>
      <c r="O716" s="891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IF(OR(TH!L380=TH!$W$7,M716=TH!$W$7),"x","")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IF(AND(OR(LEFT(TH!L380,2)="15",LEFT(TH!M380,2)="15"),'152-CT'!$J$8=TH!F380),"x","")</f>
        <v/>
      </c>
      <c r="Z716" s="51" t="str">
        <f>IF(AND(OR(LEFT(TH!L380,2)="15",LEFT(TH!M380,2)="15"),TK!$E$7=TH!F380),"x","")</f>
        <v/>
      </c>
      <c r="AA716" s="51" t="str">
        <f>IF(AND(B716&lt;=NKC!$N$8,B716&gt;=NKC!$M$8),"x","")</f>
        <v/>
      </c>
      <c r="AB716" s="923"/>
      <c r="AC716" s="589"/>
      <c r="AF716" s="589"/>
      <c r="AG716" s="589"/>
    </row>
    <row r="717" spans="1:33" s="210" customFormat="1" ht="15.75" hidden="1" customHeight="1">
      <c r="A717" s="203" t="str">
        <f>IF(B717&lt;&gt;"",IF(AND(B717&gt;=_TM1,B717&lt;=_TM2,OR(TH!L717="1111",TH!M717="1111")),TH!D717,""),"")</f>
        <v/>
      </c>
      <c r="B717" s="36" t="str">
        <f t="shared" si="42"/>
        <v/>
      </c>
      <c r="C717" s="183"/>
      <c r="D717" s="190"/>
      <c r="E717" s="190"/>
      <c r="F717" s="191"/>
      <c r="G717" s="481"/>
      <c r="H717" s="192"/>
      <c r="I717" s="255"/>
      <c r="J717" s="257"/>
      <c r="K717" s="37"/>
      <c r="L717" s="193"/>
      <c r="M717" s="193"/>
      <c r="N717" s="51" t="str">
        <f>IF(AND('331-CT'!$E$7=TH!H381,OR(L717="331",M717="331")),"331",IF(AND(OR(L717="131",M717="131"),H717='131-CT'!$E$7),"131",""))</f>
        <v/>
      </c>
      <c r="O717" s="891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IF(OR(TH!L381=TH!$W$7,M717=TH!$W$7),"x","")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IF(AND(OR(LEFT(TH!L381,2)="15",LEFT(TH!M381,2)="15"),'152-CT'!$J$8=TH!F381),"x","")</f>
        <v/>
      </c>
      <c r="Z717" s="51" t="str">
        <f>IF(AND(OR(LEFT(TH!L381,2)="15",LEFT(TH!M381,2)="15"),TK!$E$7=TH!F381),"x","")</f>
        <v/>
      </c>
      <c r="AA717" s="51" t="str">
        <f>IF(AND(B717&lt;=NKC!$N$8,B717&gt;=NKC!$M$8),"x","")</f>
        <v/>
      </c>
      <c r="AB717" s="923"/>
      <c r="AC717" s="589"/>
      <c r="AD717" s="589"/>
      <c r="AF717" s="589"/>
      <c r="AG717" s="589"/>
    </row>
    <row r="718" spans="1:33" s="210" customFormat="1" ht="15.75" hidden="1" customHeight="1">
      <c r="A718" s="203" t="str">
        <f>IF(B718&lt;&gt;"",IF(AND(B718&gt;=_TM1,B718&lt;=_TM2,OR(TH!L718="1111",TH!M718="1111")),TH!D718,""),"")</f>
        <v/>
      </c>
      <c r="B718" s="36" t="str">
        <f t="shared" si="42"/>
        <v/>
      </c>
      <c r="C718" s="183"/>
      <c r="D718" s="190"/>
      <c r="E718" s="190"/>
      <c r="F718" s="191"/>
      <c r="G718" s="481"/>
      <c r="H718" s="192"/>
      <c r="I718" s="257"/>
      <c r="J718" s="257"/>
      <c r="K718" s="37"/>
      <c r="L718" s="193"/>
      <c r="M718" s="193"/>
      <c r="N718" s="51" t="str">
        <f>IF(AND('331-CT'!$E$7=TH!H382,OR(L718="331",M718="331")),"331",IF(AND(OR(L718="131",M718="131"),H718='131-CT'!$E$7),"131",""))</f>
        <v/>
      </c>
      <c r="O718" s="891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IF(OR(TH!L382=TH!$W$7,M718=TH!$W$7),"x","")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IF(AND(OR(LEFT(TH!L382,2)="15",LEFT(TH!M382,2)="15"),'152-CT'!$J$8=TH!F382),"x","")</f>
        <v/>
      </c>
      <c r="Z718" s="51" t="str">
        <f>IF(AND(OR(LEFT(TH!L382,2)="15",LEFT(TH!M382,2)="15"),TK!$E$7=TH!F382),"x","")</f>
        <v/>
      </c>
      <c r="AA718" s="51" t="str">
        <f>IF(AND(B718&lt;=NKC!$N$8,B718&gt;=NKC!$M$8),"x","")</f>
        <v/>
      </c>
      <c r="AB718" s="923"/>
      <c r="AC718" s="589"/>
      <c r="AD718" s="589"/>
      <c r="AF718" s="589"/>
      <c r="AG718" s="589"/>
    </row>
    <row r="719" spans="1:33" s="210" customFormat="1" ht="15.75" hidden="1" customHeight="1">
      <c r="A719" s="203" t="str">
        <f>IF(B719&lt;&gt;"",IF(AND(B719&gt;=_TM1,B719&lt;=_TM2,OR(TH!L719="1111",TH!M719="1111")),TH!D719,""),"")</f>
        <v/>
      </c>
      <c r="B719" s="36" t="str">
        <f t="shared" si="42"/>
        <v/>
      </c>
      <c r="C719" s="183"/>
      <c r="D719" s="190"/>
      <c r="E719" s="190"/>
      <c r="F719" s="191"/>
      <c r="G719" s="481"/>
      <c r="H719" s="192"/>
      <c r="I719" s="255"/>
      <c r="J719" s="257"/>
      <c r="K719" s="37"/>
      <c r="L719" s="193"/>
      <c r="M719" s="193"/>
      <c r="N719" s="51" t="str">
        <f>IF(AND('331-CT'!$E$7=TH!H383,OR(L719="331",M719="331")),"331",IF(AND(OR(L719="131",M719="131"),H719='131-CT'!$E$7),"131",""))</f>
        <v/>
      </c>
      <c r="O719" s="891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IF(OR(TH!L383=TH!$W$7,M719=TH!$W$7),"x","")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IF(AND(OR(LEFT(TH!L383,2)="15",LEFT(TH!M383,2)="15"),'152-CT'!$J$8=TH!F383),"x","")</f>
        <v/>
      </c>
      <c r="Z719" s="51" t="str">
        <f>IF(AND(OR(LEFT(TH!L383,2)="15",LEFT(TH!M383,2)="15"),TK!$E$7=TH!F383),"x","")</f>
        <v/>
      </c>
      <c r="AA719" s="51" t="str">
        <f>IF(AND(B719&lt;=NKC!$N$8,B719&gt;=NKC!$M$8),"x","")</f>
        <v/>
      </c>
      <c r="AB719" s="923"/>
      <c r="AC719" s="589"/>
      <c r="AD719" s="589"/>
      <c r="AF719" s="589"/>
      <c r="AG719" s="589"/>
    </row>
    <row r="720" spans="1:33" s="210" customFormat="1" ht="15.75" hidden="1" customHeight="1">
      <c r="A720" s="203" t="str">
        <f>IF(B720&lt;&gt;"",IF(AND(B720&gt;=_TM1,B720&lt;=_TM2,OR(TH!L720="1111",TH!M720="1111")),TH!D720,""),"")</f>
        <v/>
      </c>
      <c r="B720" s="36" t="str">
        <f t="shared" si="42"/>
        <v/>
      </c>
      <c r="C720" s="183"/>
      <c r="D720" s="190"/>
      <c r="E720" s="190"/>
      <c r="F720" s="191"/>
      <c r="G720" s="481"/>
      <c r="H720" s="192"/>
      <c r="I720" s="255"/>
      <c r="J720" s="257"/>
      <c r="K720" s="37"/>
      <c r="L720" s="193"/>
      <c r="M720" s="193"/>
      <c r="N720" s="51" t="str">
        <f>IF(AND('331-CT'!$E$7=TH!H384,OR(L720="331",M720="331")),"331",IF(AND(OR(L720="131",M720="131"),H720='131-CT'!$E$7),"131",""))</f>
        <v/>
      </c>
      <c r="O720" s="891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IF(OR(TH!L384=TH!$W$7,M720=TH!$W$7),"x","")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IF(AND(OR(LEFT(TH!L384,2)="15",LEFT(TH!M384,2)="15"),'152-CT'!$J$8=TH!F384),"x","")</f>
        <v/>
      </c>
      <c r="Z720" s="51" t="str">
        <f>IF(AND(OR(LEFT(TH!L384,2)="15",LEFT(TH!M384,2)="15"),TK!$E$7=TH!F384),"x","")</f>
        <v/>
      </c>
      <c r="AA720" s="51" t="str">
        <f>IF(AND(B720&lt;=NKC!$N$8,B720&gt;=NKC!$M$8),"x","")</f>
        <v/>
      </c>
      <c r="AB720" s="923"/>
      <c r="AC720" s="589"/>
      <c r="AD720" s="589"/>
      <c r="AF720" s="589"/>
      <c r="AG720" s="589"/>
    </row>
    <row r="721" spans="1:33" s="210" customFormat="1" ht="15.75" hidden="1" customHeight="1">
      <c r="A721" s="203" t="str">
        <f>IF(B721&lt;&gt;"",IF(AND(B721&gt;=_TM1,B721&lt;=_TM2,OR(TH!L721="1111",TH!M721="1111")),TH!D721,""),"")</f>
        <v/>
      </c>
      <c r="B721" s="36" t="str">
        <f t="shared" si="42"/>
        <v/>
      </c>
      <c r="C721" s="183"/>
      <c r="D721" s="190"/>
      <c r="E721" s="190"/>
      <c r="F721" s="191"/>
      <c r="G721" s="481"/>
      <c r="H721" s="192"/>
      <c r="I721" s="255"/>
      <c r="J721" s="257"/>
      <c r="K721" s="37"/>
      <c r="L721" s="193"/>
      <c r="M721" s="193"/>
      <c r="N721" s="51" t="str">
        <f>IF(AND('331-CT'!$E$7=TH!H385,OR(L721="331",M721="331")),"331",IF(AND(OR(L721="131",M721="131"),H721='131-CT'!$E$7),"131",""))</f>
        <v/>
      </c>
      <c r="O721" s="891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IF(OR(TH!L385=TH!$W$7,M721=TH!$W$7),"x","")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IF(AND(OR(LEFT(TH!L385,2)="15",LEFT(TH!M385,2)="15"),'152-CT'!$J$8=TH!F385),"x","")</f>
        <v/>
      </c>
      <c r="Z721" s="51" t="str">
        <f>IF(AND(OR(LEFT(TH!L385,2)="15",LEFT(TH!M385,2)="15"),TK!$E$7=TH!F385),"x","")</f>
        <v/>
      </c>
      <c r="AA721" s="51" t="str">
        <f>IF(AND(B721&lt;=NKC!$N$8,B721&gt;=NKC!$M$8),"x","")</f>
        <v/>
      </c>
      <c r="AB721" s="923"/>
      <c r="AC721" s="589"/>
      <c r="AD721" s="589"/>
      <c r="AF721" s="589"/>
      <c r="AG721" s="589"/>
    </row>
    <row r="722" spans="1:33" s="210" customFormat="1" ht="15.75" hidden="1" customHeight="1">
      <c r="A722" s="203" t="str">
        <f>IF(B722&lt;&gt;"",IF(AND(B722&gt;=_TM1,B722&lt;=_TM2,OR(TH!L722="1111",TH!M722="1111")),TH!D722,""),"")</f>
        <v/>
      </c>
      <c r="B722" s="36" t="str">
        <f t="shared" si="42"/>
        <v/>
      </c>
      <c r="C722" s="183"/>
      <c r="D722" s="190"/>
      <c r="E722" s="190"/>
      <c r="F722" s="188"/>
      <c r="G722" s="481"/>
      <c r="H722" s="7"/>
      <c r="I722" s="256"/>
      <c r="J722" s="256"/>
      <c r="K722" s="37"/>
      <c r="L722" s="193"/>
      <c r="M722" s="193"/>
      <c r="N722" s="51" t="str">
        <f>IF(AND('331-CT'!$E$7=TH!H774,OR(L722="331",M722="331")),"331",IF(AND(OR(L722="131",M722="131"),H722='131-CT'!$E$7),"131",""))</f>
        <v/>
      </c>
      <c r="O722" s="891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IF(OR(TH!L774=TH!$W$7,M722=TH!$W$7),"x","")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IF(AND(OR(LEFT(TH!L774,2)="15",LEFT(TH!M774,2)="15"),'152-CT'!$J$8=TH!F774),"x","")</f>
        <v/>
      </c>
      <c r="Z722" s="51" t="str">
        <f>IF(AND(OR(LEFT(TH!L774,2)="15",LEFT(TH!M774,2)="15"),TK!$E$7=TH!F774),"x","")</f>
        <v/>
      </c>
      <c r="AA722" s="51" t="str">
        <f>IF(AND(B722&lt;=NKC!$N$8,B722&gt;=NKC!$M$8),"x","")</f>
        <v/>
      </c>
      <c r="AB722" s="923"/>
      <c r="AC722" s="589"/>
      <c r="AD722" s="589"/>
    </row>
    <row r="723" spans="1:33" s="210" customFormat="1" ht="15.75" hidden="1" customHeight="1">
      <c r="A723" s="203" t="str">
        <f>IF(B723&lt;&gt;"",IF(AND(B723&gt;=_TM1,B723&lt;=_TM2,OR(TH!L723="1111",TH!M723="1111")),TH!D723,""),"")</f>
        <v/>
      </c>
      <c r="B723" s="36" t="str">
        <f t="shared" si="42"/>
        <v/>
      </c>
      <c r="C723" s="183"/>
      <c r="D723" s="190"/>
      <c r="E723" s="190"/>
      <c r="F723" s="188"/>
      <c r="G723" s="481"/>
      <c r="H723" s="7"/>
      <c r="I723" s="256"/>
      <c r="J723" s="256"/>
      <c r="K723" s="597"/>
      <c r="L723" s="193"/>
      <c r="M723" s="193"/>
      <c r="N723" s="51" t="str">
        <f>IF(AND('331-CT'!$E$7=TH!H775,OR(L723="331",M723="331")),"331",IF(AND(OR(L723="131",M723="131"),H723='131-CT'!$E$7),"131",""))</f>
        <v/>
      </c>
      <c r="O723" s="891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IF(OR(TH!L775=TH!$W$7,M723=TH!$W$7),"x","")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IF(AND(OR(LEFT(TH!L775,2)="15",LEFT(TH!M775,2)="15"),'152-CT'!$J$8=TH!F775),"x","")</f>
        <v/>
      </c>
      <c r="Z723" s="51" t="str">
        <f>IF(AND(OR(LEFT(TH!L775,2)="15",LEFT(TH!M775,2)="15"),TK!$E$7=TH!F775),"x","")</f>
        <v/>
      </c>
      <c r="AA723" s="51" t="str">
        <f>IF(AND(B723&lt;=NKC!$N$8,B723&gt;=NKC!$M$8),"x","")</f>
        <v/>
      </c>
      <c r="AB723" s="923"/>
      <c r="AC723" s="589"/>
      <c r="AD723" s="589"/>
    </row>
    <row r="724" spans="1:33" s="210" customFormat="1" ht="15.75" hidden="1" customHeight="1">
      <c r="A724" s="203" t="str">
        <f>IF(B724&lt;&gt;"",IF(AND(B724&gt;=_TM1,B724&lt;=_TM2,OR(TH!L724="1111",TH!M724="1111")),TH!D724,""),"")</f>
        <v/>
      </c>
      <c r="B724" s="36" t="str">
        <f t="shared" si="42"/>
        <v/>
      </c>
      <c r="C724" s="183"/>
      <c r="D724" s="190"/>
      <c r="E724" s="190"/>
      <c r="F724" s="188"/>
      <c r="G724" s="481"/>
      <c r="H724" s="7"/>
      <c r="I724" s="256"/>
      <c r="J724" s="256"/>
      <c r="K724" s="37"/>
      <c r="L724" s="193"/>
      <c r="M724" s="193"/>
      <c r="N724" s="51" t="str">
        <f>IF(AND('331-CT'!$E$7=TH!H776,OR(L724="331",M724="331")),"331",IF(AND(OR(L724="131",M724="131"),H724='131-CT'!$E$7),"131",""))</f>
        <v/>
      </c>
      <c r="O724" s="891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IF(OR(TH!L776=TH!$W$7,M724=TH!$W$7),"x","")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IF(AND(OR(LEFT(TH!L776,2)="15",LEFT(TH!M776,2)="15"),'152-CT'!$J$8=TH!F776),"x","")</f>
        <v/>
      </c>
      <c r="Z724" s="51" t="str">
        <f>IF(AND(OR(LEFT(TH!L776,2)="15",LEFT(TH!M776,2)="15"),TK!$E$7=TH!F776),"x","")</f>
        <v/>
      </c>
      <c r="AA724" s="51" t="str">
        <f>IF(AND(B724&lt;=NKC!$N$8,B724&gt;=NKC!$M$8),"x","")</f>
        <v/>
      </c>
      <c r="AB724" s="923"/>
      <c r="AC724" s="589"/>
      <c r="AD724" s="589"/>
    </row>
    <row r="725" spans="1:33" s="210" customFormat="1" ht="15.75" hidden="1" customHeight="1">
      <c r="A725" s="203" t="str">
        <f>IF(B725&lt;&gt;"",IF(AND(B725&gt;=_TM1,B725&lt;=_TM2,OR(TH!L725="1111",TH!M725="1111")),TH!D725,""),"")</f>
        <v/>
      </c>
      <c r="B725" s="36" t="str">
        <f t="shared" si="42"/>
        <v/>
      </c>
      <c r="C725" s="183"/>
      <c r="D725" s="190"/>
      <c r="E725" s="190"/>
      <c r="F725" s="188"/>
      <c r="G725" s="481"/>
      <c r="H725" s="7"/>
      <c r="I725" s="256"/>
      <c r="J725" s="256"/>
      <c r="K725" s="37"/>
      <c r="L725" s="193"/>
      <c r="M725" s="193"/>
      <c r="N725" s="51" t="str">
        <f>IF(AND('331-CT'!$E$7=TH!H777,OR(L725="331",M725="331")),"331",IF(AND(OR(L725="131",M725="131"),H725='131-CT'!$E$7),"131",""))</f>
        <v/>
      </c>
      <c r="O725" s="891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IF(OR(TH!L777=TH!$W$7,M725=TH!$W$7),"x","")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IF(AND(OR(LEFT(TH!L777,2)="15",LEFT(TH!M777,2)="15"),'152-CT'!$J$8=TH!F777),"x","")</f>
        <v/>
      </c>
      <c r="Z725" s="51" t="str">
        <f>IF(AND(OR(LEFT(TH!L777,2)="15",LEFT(TH!M777,2)="15"),TK!$E$7=TH!F777),"x","")</f>
        <v/>
      </c>
      <c r="AA725" s="51" t="str">
        <f>IF(AND(B725&lt;=NKC!$N$8,B725&gt;=NKC!$M$8),"x","")</f>
        <v/>
      </c>
      <c r="AB725" s="923"/>
      <c r="AC725" s="589"/>
      <c r="AD725" s="589"/>
    </row>
    <row r="726" spans="1:33" s="210" customFormat="1" ht="15.75" hidden="1" customHeight="1">
      <c r="A726" s="203" t="str">
        <f>IF(B726&lt;&gt;"",IF(AND(B726&gt;=_TM1,B726&lt;=_TM2,OR(TH!L726="1111",TH!M726="1111")),TH!D726,""),"")</f>
        <v/>
      </c>
      <c r="B726" s="36" t="str">
        <f t="shared" si="42"/>
        <v/>
      </c>
      <c r="C726" s="183"/>
      <c r="D726" s="190"/>
      <c r="E726" s="190"/>
      <c r="F726" s="188"/>
      <c r="G726" s="481"/>
      <c r="H726" s="7"/>
      <c r="I726" s="255"/>
      <c r="J726" s="255"/>
      <c r="K726" s="37"/>
      <c r="L726" s="193"/>
      <c r="M726" s="193"/>
      <c r="N726" s="51" t="str">
        <f>IF(AND('331-CT'!$E$7=TH!H778,OR(L726="331",M726="331")),"331",IF(AND(OR(L726="131",M726="131"),H726='131-CT'!$E$7),"131",""))</f>
        <v/>
      </c>
      <c r="O726" s="891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IF(OR(TH!L778=TH!$W$7,M726=TH!$W$7),"x","")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IF(AND(OR(LEFT(TH!L778,2)="15",LEFT(TH!M778,2)="15"),'152-CT'!$J$8=TH!F778),"x","")</f>
        <v/>
      </c>
      <c r="Z726" s="51" t="str">
        <f>IF(AND(OR(LEFT(TH!L778,2)="15",LEFT(TH!M778,2)="15"),TK!$E$7=TH!F778),"x","")</f>
        <v/>
      </c>
      <c r="AA726" s="51" t="str">
        <f>IF(AND(B726&lt;=NKC!$N$8,B726&gt;=NKC!$M$8),"x","")</f>
        <v/>
      </c>
      <c r="AB726" s="923"/>
      <c r="AC726" s="589"/>
      <c r="AD726" s="589"/>
    </row>
    <row r="727" spans="1:33" s="210" customFormat="1" ht="15.75" hidden="1" customHeight="1">
      <c r="A727" s="203" t="str">
        <f>IF(B727&lt;&gt;"",IF(AND(B727&gt;=_TM1,B727&lt;=_TM2,OR(TH!L727="1111",TH!M727="1111")),TH!D727,""),"")</f>
        <v/>
      </c>
      <c r="B727" s="36" t="str">
        <f t="shared" si="42"/>
        <v/>
      </c>
      <c r="C727" s="183"/>
      <c r="D727" s="190"/>
      <c r="E727" s="190"/>
      <c r="F727" s="188"/>
      <c r="G727" s="481"/>
      <c r="H727" s="7"/>
      <c r="I727" s="255"/>
      <c r="J727" s="255"/>
      <c r="K727" s="597"/>
      <c r="L727" s="193"/>
      <c r="M727" s="193"/>
      <c r="N727" s="51" t="str">
        <f>IF(AND('331-CT'!$E$7=TH!H779,OR(L727="331",M727="331")),"331",IF(AND(OR(L727="131",M727="131"),H727='131-CT'!$E$7),"131",""))</f>
        <v/>
      </c>
      <c r="O727" s="891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IF(OR(TH!L779=TH!$W$7,M727=TH!$W$7),"x","")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IF(AND(OR(LEFT(TH!L779,2)="15",LEFT(TH!M779,2)="15"),'152-CT'!$J$8=TH!F779),"x","")</f>
        <v/>
      </c>
      <c r="Z727" s="51" t="str">
        <f>IF(AND(OR(LEFT(TH!L779,2)="15",LEFT(TH!M779,2)="15"),TK!$E$7=TH!F779),"x","")</f>
        <v/>
      </c>
      <c r="AA727" s="51" t="str">
        <f>IF(AND(B727&lt;=NKC!$N$8,B727&gt;=NKC!$M$8),"x","")</f>
        <v/>
      </c>
      <c r="AB727" s="923"/>
      <c r="AC727" s="589"/>
      <c r="AD727" s="589"/>
    </row>
    <row r="728" spans="1:33" s="210" customFormat="1" ht="15.75" hidden="1" customHeight="1">
      <c r="A728" s="203" t="str">
        <f>IF(B728&lt;&gt;"",IF(AND(B728&gt;=_TM1,B728&lt;=_TM2,OR(TH!L728="1111",TH!M728="1111")),TH!D728,""),"")</f>
        <v/>
      </c>
      <c r="B728" s="36" t="str">
        <f t="shared" si="42"/>
        <v/>
      </c>
      <c r="C728" s="183"/>
      <c r="D728" s="190"/>
      <c r="E728" s="190"/>
      <c r="F728" s="188"/>
      <c r="G728" s="481"/>
      <c r="H728" s="192"/>
      <c r="I728" s="255"/>
      <c r="J728" s="255"/>
      <c r="K728" s="37"/>
      <c r="L728" s="193"/>
      <c r="M728" s="193"/>
      <c r="N728" s="51" t="str">
        <f>IF(AND('331-CT'!$E$7=TH!H780,OR(L728="331",M728="331")),"331",IF(AND(OR(L728="131",M728="131"),H728='131-CT'!$E$7),"131",""))</f>
        <v/>
      </c>
      <c r="O728" s="891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IF(OR(TH!L780=TH!$W$7,M728=TH!$W$7),"x","")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IF(AND(OR(LEFT(TH!L780,2)="15",LEFT(TH!M780,2)="15"),'152-CT'!$J$8=TH!F780),"x","")</f>
        <v/>
      </c>
      <c r="Z728" s="51" t="str">
        <f>IF(AND(OR(LEFT(TH!L780,2)="15",LEFT(TH!M780,2)="15"),TK!$E$7=TH!F780),"x","")</f>
        <v/>
      </c>
      <c r="AA728" s="51" t="str">
        <f>IF(AND(B728&lt;=NKC!$N$8,B728&gt;=NKC!$M$8),"x","")</f>
        <v/>
      </c>
      <c r="AB728" s="923"/>
      <c r="AC728" s="589"/>
    </row>
    <row r="729" spans="1:33" s="210" customFormat="1" ht="15.75" hidden="1" customHeight="1">
      <c r="A729" s="203" t="str">
        <f>IF(B729&lt;&gt;"",IF(AND(B729&gt;=_TM1,B729&lt;=_TM2,OR(TH!L729="1111",TH!M729="1111")),TH!D729,""),"")</f>
        <v/>
      </c>
      <c r="B729" s="36" t="str">
        <f t="shared" si="42"/>
        <v/>
      </c>
      <c r="C729" s="183"/>
      <c r="D729" s="190"/>
      <c r="E729" s="190"/>
      <c r="F729" s="188"/>
      <c r="G729" s="481"/>
      <c r="H729" s="192"/>
      <c r="I729" s="255"/>
      <c r="J729" s="255"/>
      <c r="K729" s="37"/>
      <c r="L729" s="193"/>
      <c r="M729" s="193"/>
      <c r="N729" s="51" t="str">
        <f>IF(AND('331-CT'!$E$7=TH!H781,OR(L729="331",M729="331")),"331",IF(AND(OR(L729="131",M729="131"),H729='131-CT'!$E$7),"131",""))</f>
        <v/>
      </c>
      <c r="O729" s="891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IF(OR(TH!L781=TH!$W$7,M729=TH!$W$7),"x","")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IF(AND(OR(LEFT(TH!L781,2)="15",LEFT(TH!M781,2)="15"),'152-CT'!$J$8=TH!F781),"x","")</f>
        <v/>
      </c>
      <c r="Z729" s="51" t="str">
        <f>IF(AND(OR(LEFT(TH!L781,2)="15",LEFT(TH!M781,2)="15"),TK!$E$7=TH!F781),"x","")</f>
        <v/>
      </c>
      <c r="AA729" s="51" t="str">
        <f>IF(AND(B729&lt;=NKC!$N$8,B729&gt;=NKC!$M$8),"x","")</f>
        <v/>
      </c>
      <c r="AB729" s="923"/>
      <c r="AC729" s="589"/>
      <c r="AD729" s="589"/>
    </row>
    <row r="730" spans="1:33" s="210" customFormat="1" ht="15.75" hidden="1" customHeight="1">
      <c r="A730" s="203" t="str">
        <f>IF(B730&lt;&gt;"",IF(AND(B730&gt;=_TM1,B730&lt;=_TM2,OR(TH!L730="1111",TH!M730="1111")),TH!D730,""),"")</f>
        <v/>
      </c>
      <c r="B730" s="36" t="str">
        <f t="shared" si="42"/>
        <v/>
      </c>
      <c r="C730" s="183"/>
      <c r="D730" s="190"/>
      <c r="E730" s="190"/>
      <c r="F730" s="188"/>
      <c r="G730" s="481"/>
      <c r="H730" s="192"/>
      <c r="I730" s="255"/>
      <c r="J730" s="255"/>
      <c r="K730" s="37"/>
      <c r="L730" s="193"/>
      <c r="M730" s="193"/>
      <c r="N730" s="51" t="str">
        <f>IF(AND('331-CT'!$E$7=TH!H782,OR(L730="331",M730="331")),"331",IF(AND(OR(L730="131",M730="131"),H730='131-CT'!$E$7),"131",""))</f>
        <v/>
      </c>
      <c r="O730" s="891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IF(OR(TH!L782=TH!$W$7,M730=TH!$W$7),"x","")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IF(AND(OR(LEFT(TH!L782,2)="15",LEFT(TH!M782,2)="15"),'152-CT'!$J$8=TH!F782),"x","")</f>
        <v/>
      </c>
      <c r="Z730" s="51" t="str">
        <f>IF(AND(OR(LEFT(TH!L782,2)="15",LEFT(TH!M782,2)="15"),TK!$E$7=TH!F782),"x","")</f>
        <v/>
      </c>
      <c r="AA730" s="51" t="str">
        <f>IF(AND(B730&lt;=NKC!$N$8,B730&gt;=NKC!$M$8),"x","")</f>
        <v/>
      </c>
      <c r="AB730" s="923"/>
      <c r="AC730" s="589"/>
      <c r="AD730" s="589"/>
    </row>
    <row r="731" spans="1:33" s="210" customFormat="1" ht="15.75" hidden="1" customHeight="1">
      <c r="A731" s="203" t="str">
        <f>IF(B731&lt;&gt;"",IF(AND(B731&gt;=_TM1,B731&lt;=_TM2,OR(TH!L731="1111",TH!M731="1111")),TH!D731,""),"")</f>
        <v/>
      </c>
      <c r="B731" s="36" t="str">
        <f t="shared" si="42"/>
        <v/>
      </c>
      <c r="C731" s="183"/>
      <c r="D731" s="190"/>
      <c r="E731" s="190"/>
      <c r="F731" s="191"/>
      <c r="G731" s="481"/>
      <c r="H731" s="192"/>
      <c r="I731" s="255"/>
      <c r="J731" s="255"/>
      <c r="K731" s="597"/>
      <c r="L731" s="193"/>
      <c r="M731" s="193"/>
      <c r="N731" s="51" t="str">
        <f>IF(AND('331-CT'!$E$7=TH!H789,OR(L731="331",M731="331")),"331",IF(AND(OR(L731="131",M731="131"),H731='131-CT'!$E$7),"131",""))</f>
        <v/>
      </c>
      <c r="O731" s="891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IF(OR(TH!L789=TH!$W$7,M731=TH!$W$7),"x","")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IF(AND(OR(LEFT(TH!L789,2)="15",LEFT(TH!M789,2)="15"),'152-CT'!$J$8=TH!F789),"x","")</f>
        <v/>
      </c>
      <c r="Z731" s="51" t="str">
        <f>IF(AND(OR(LEFT(TH!L789,2)="15",LEFT(TH!M789,2)="15"),TK!$E$7=TH!F789),"x","")</f>
        <v/>
      </c>
      <c r="AA731" s="51" t="str">
        <f>IF(AND(B731&lt;=NKC!$N$8,B731&gt;=NKC!$M$8),"x","")</f>
        <v/>
      </c>
      <c r="AB731" s="923"/>
      <c r="AC731" s="589"/>
    </row>
    <row r="732" spans="1:33" s="210" customFormat="1" ht="15.75" hidden="1" customHeight="1">
      <c r="A732" s="203" t="str">
        <f>IF(B732&lt;&gt;"",IF(AND(B732&gt;=_TM1,B732&lt;=_TM2,OR(TH!L732="1111",TH!M732="1111")),TH!D732,""),"")</f>
        <v/>
      </c>
      <c r="B732" s="36" t="str">
        <f t="shared" si="42"/>
        <v/>
      </c>
      <c r="C732" s="183"/>
      <c r="D732" s="190"/>
      <c r="E732" s="190"/>
      <c r="F732" s="191"/>
      <c r="G732" s="481"/>
      <c r="H732" s="192"/>
      <c r="I732" s="255"/>
      <c r="J732" s="255"/>
      <c r="K732" s="37"/>
      <c r="L732" s="193"/>
      <c r="M732" s="193"/>
      <c r="N732" s="51" t="str">
        <f>IF(AND('331-CT'!$E$7=TH!H790,OR(L732="331",M732="331")),"331",IF(AND(OR(L732="131",M732="131"),H732='131-CT'!$E$7),"131",""))</f>
        <v/>
      </c>
      <c r="O732" s="891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IF(OR(TH!L790=TH!$W$7,M732=TH!$W$7),"x","")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IF(AND(OR(LEFT(TH!L790,2)="15",LEFT(TH!M790,2)="15"),'152-CT'!$J$8=TH!F790),"x","")</f>
        <v/>
      </c>
      <c r="Z732" s="51" t="str">
        <f>IF(AND(OR(LEFT(TH!L790,2)="15",LEFT(TH!M790,2)="15"),TK!$E$7=TH!F790),"x","")</f>
        <v/>
      </c>
      <c r="AA732" s="51" t="str">
        <f>IF(AND(B732&lt;=NKC!$N$8,B732&gt;=NKC!$M$8),"x","")</f>
        <v/>
      </c>
      <c r="AB732" s="923"/>
      <c r="AC732" s="589"/>
      <c r="AD732" s="589"/>
    </row>
    <row r="733" spans="1:33" s="210" customFormat="1" ht="15.75" hidden="1" customHeight="1">
      <c r="A733" s="203" t="str">
        <f>IF(B733&lt;&gt;"",IF(AND(B733&gt;=_TM1,B733&lt;=_TM2,OR(TH!L733="1111",TH!M733="1111")),TH!D733,""),"")</f>
        <v/>
      </c>
      <c r="B733" s="36" t="str">
        <f t="shared" si="42"/>
        <v/>
      </c>
      <c r="C733" s="183"/>
      <c r="D733" s="190"/>
      <c r="E733" s="190"/>
      <c r="F733" s="188"/>
      <c r="G733" s="481"/>
      <c r="H733" s="192"/>
      <c r="I733" s="255"/>
      <c r="J733" s="255"/>
      <c r="K733" s="37"/>
      <c r="L733" s="193"/>
      <c r="M733" s="193"/>
      <c r="N733" s="51" t="str">
        <f>IF(AND('331-CT'!$E$7=TH!H794,OR(L733="331",M733="331")),"331",IF(AND(OR(L733="131",M733="131"),H733='131-CT'!$E$7),"131",""))</f>
        <v/>
      </c>
      <c r="O733" s="891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IF(OR(TH!L794=TH!$W$7,M733=TH!$W$7),"x","")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IF(AND(OR(LEFT(TH!L794,2)="15",LEFT(TH!M794,2)="15"),'152-CT'!$J$8=TH!F794),"x","")</f>
        <v/>
      </c>
      <c r="Z733" s="51" t="str">
        <f>IF(AND(OR(LEFT(TH!L794,2)="15",LEFT(TH!M794,2)="15"),TK!$E$7=TH!F794),"x","")</f>
        <v/>
      </c>
      <c r="AA733" s="51" t="str">
        <f>IF(AND(B733&lt;=NKC!$N$8,B733&gt;=NKC!$M$8),"x","")</f>
        <v/>
      </c>
      <c r="AB733" s="923"/>
      <c r="AC733" s="589"/>
      <c r="AD733" s="589"/>
    </row>
    <row r="734" spans="1:33" s="210" customFormat="1" ht="15.75" hidden="1" customHeight="1">
      <c r="A734" s="203" t="str">
        <f>IF(B734&lt;&gt;"",IF(AND(B734&gt;=_TM1,B734&lt;=_TM2,OR(TH!L734="1111",TH!M734="1111")),TH!D734,""),"")</f>
        <v/>
      </c>
      <c r="B734" s="36" t="str">
        <f t="shared" si="42"/>
        <v/>
      </c>
      <c r="C734" s="183"/>
      <c r="D734" s="190"/>
      <c r="E734" s="190"/>
      <c r="F734" s="191"/>
      <c r="G734" s="481"/>
      <c r="H734" s="192"/>
      <c r="I734" s="255"/>
      <c r="J734" s="255"/>
      <c r="K734" s="597"/>
      <c r="L734" s="193"/>
      <c r="M734" s="193"/>
      <c r="N734" s="51" t="str">
        <f>IF(AND('331-CT'!$E$7=TH!H800,OR(L734="331",M734="331")),"331",IF(AND(OR(L734="131",M734="131"),H734='131-CT'!$E$7),"131",""))</f>
        <v/>
      </c>
      <c r="O734" s="891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IF(OR(TH!L800=TH!$W$7,M734=TH!$W$7),"x","")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IF(AND(OR(LEFT(TH!L800,2)="15",LEFT(TH!M800,2)="15"),'152-CT'!$J$8=TH!F800),"x","")</f>
        <v/>
      </c>
      <c r="Z734" s="51" t="str">
        <f>IF(AND(OR(LEFT(TH!L800,2)="15",LEFT(TH!M800,2)="15"),TK!$E$7=TH!F800),"x","")</f>
        <v/>
      </c>
      <c r="AA734" s="51" t="str">
        <f>IF(AND(B734&lt;=NKC!$N$8,B734&gt;=NKC!$M$8),"x","")</f>
        <v/>
      </c>
      <c r="AB734" s="923"/>
      <c r="AC734" s="589"/>
      <c r="AD734" s="589"/>
    </row>
    <row r="735" spans="1:33" s="210" customFormat="1" ht="15.75" hidden="1" customHeight="1">
      <c r="A735" s="203" t="str">
        <f>IF(B735&lt;&gt;"",IF(AND(B735&gt;=_TM1,B735&lt;=_TM2,OR(TH!L735="1111",TH!M735="1111")),TH!D735,""),"")</f>
        <v/>
      </c>
      <c r="B735" s="36" t="str">
        <f t="shared" si="42"/>
        <v/>
      </c>
      <c r="C735" s="183"/>
      <c r="D735" s="190"/>
      <c r="E735" s="190"/>
      <c r="F735" s="191"/>
      <c r="G735" s="481"/>
      <c r="H735" s="192"/>
      <c r="I735" s="255"/>
      <c r="J735" s="255"/>
      <c r="K735" s="37"/>
      <c r="L735" s="193"/>
      <c r="M735" s="193"/>
      <c r="N735" s="51" t="str">
        <f>IF(AND('331-CT'!$E$7=TH!H801,OR(L735="331",M735="331")),"331",IF(AND(OR(L735="131",M735="131"),H735='131-CT'!$E$7),"131",""))</f>
        <v/>
      </c>
      <c r="O735" s="891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IF(OR(TH!L801=TH!$W$7,M735=TH!$W$7),"x","")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IF(AND(OR(LEFT(TH!L801,2)="15",LEFT(TH!M801,2)="15"),'152-CT'!$J$8=TH!F801),"x","")</f>
        <v/>
      </c>
      <c r="Z735" s="51" t="str">
        <f>IF(AND(OR(LEFT(TH!L801,2)="15",LEFT(TH!M801,2)="15"),TK!$E$7=TH!F801),"x","")</f>
        <v/>
      </c>
      <c r="AA735" s="51" t="str">
        <f>IF(AND(B735&lt;=NKC!$N$8,B735&gt;=NKC!$M$8),"x","")</f>
        <v/>
      </c>
      <c r="AB735" s="923"/>
      <c r="AC735" s="589"/>
      <c r="AD735" s="589"/>
    </row>
    <row r="736" spans="1:33" s="210" customFormat="1" ht="15.75" hidden="1" customHeight="1">
      <c r="A736" s="203" t="str">
        <f>IF(B736&lt;&gt;"",IF(AND(B736&gt;=_TM1,B736&lt;=_TM2,OR(TH!L736="1111",TH!M736="1111")),TH!D736,""),"")</f>
        <v/>
      </c>
      <c r="B736" s="36" t="str">
        <f t="shared" si="42"/>
        <v/>
      </c>
      <c r="C736" s="183"/>
      <c r="D736" s="190"/>
      <c r="E736" s="190"/>
      <c r="F736" s="188"/>
      <c r="G736" s="481"/>
      <c r="H736" s="7"/>
      <c r="I736" s="256"/>
      <c r="J736" s="256"/>
      <c r="K736" s="37"/>
      <c r="L736" s="193"/>
      <c r="M736" s="193"/>
      <c r="N736" s="51" t="str">
        <f>IF(AND('331-CT'!$E$7=TH!H802,OR(L736="331",M736="331")),"331",IF(AND(OR(L736="131",M736="131"),H736='131-CT'!$E$7),"131",""))</f>
        <v/>
      </c>
      <c r="O736" s="891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IF(OR(TH!L802=TH!$W$7,M736=TH!$W$7),"x","")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IF(AND(OR(LEFT(TH!L802,2)="15",LEFT(TH!M802,2)="15"),'152-CT'!$J$8=TH!F802),"x","")</f>
        <v/>
      </c>
      <c r="Z736" s="51" t="str">
        <f>IF(AND(OR(LEFT(TH!L802,2)="15",LEFT(TH!M802,2)="15"),TK!$E$7=TH!F802),"x","")</f>
        <v/>
      </c>
      <c r="AA736" s="51" t="str">
        <f>IF(AND(B736&lt;=NKC!$N$8,B736&gt;=NKC!$M$8),"x","")</f>
        <v/>
      </c>
      <c r="AB736" s="923"/>
      <c r="AC736" s="589"/>
    </row>
    <row r="737" spans="1:33" s="210" customFormat="1" ht="15.75" hidden="1" customHeight="1">
      <c r="A737" s="203" t="str">
        <f>IF(B737&lt;&gt;"",IF(AND(B737&gt;=_TM1,B737&lt;=_TM2,OR(TH!L737="1111",TH!M737="1111")),TH!D737,""),"")</f>
        <v/>
      </c>
      <c r="B737" s="36" t="str">
        <f t="shared" si="42"/>
        <v/>
      </c>
      <c r="C737" s="183"/>
      <c r="D737" s="190"/>
      <c r="E737" s="190"/>
      <c r="F737" s="188"/>
      <c r="G737" s="481"/>
      <c r="H737" s="901"/>
      <c r="I737" s="255"/>
      <c r="J737" s="255"/>
      <c r="K737" s="37"/>
      <c r="L737" s="193"/>
      <c r="M737" s="193"/>
      <c r="N737" s="51" t="str">
        <f>IF(AND('331-CT'!$E$7=TH!H803,OR(L737="331",M737="331")),"331",IF(AND(OR(L737="131",M737="131"),H737='131-CT'!$E$7),"131",""))</f>
        <v/>
      </c>
      <c r="O737" s="891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IF(OR(TH!L803=TH!$W$7,M737=TH!$W$7),"x","")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IF(AND(OR(LEFT(TH!L803,2)="15",LEFT(TH!M803,2)="15"),'152-CT'!$J$8=TH!F803),"x","")</f>
        <v/>
      </c>
      <c r="Z737" s="51" t="str">
        <f>IF(AND(OR(LEFT(TH!L803,2)="15",LEFT(TH!M803,2)="15"),TK!$E$7=TH!F803),"x","")</f>
        <v/>
      </c>
      <c r="AA737" s="51" t="str">
        <f>IF(AND(B737&lt;=NKC!$N$8,B737&gt;=NKC!$M$8),"x","")</f>
        <v/>
      </c>
      <c r="AB737" s="923"/>
      <c r="AC737" s="589"/>
      <c r="AD737" s="589"/>
    </row>
    <row r="738" spans="1:33" s="210" customFormat="1" ht="15.75" hidden="1" customHeight="1">
      <c r="A738" s="203" t="str">
        <f>IF(B738&lt;&gt;"",IF(AND(B738&gt;=_TM1,B738&lt;=_TM2,OR(TH!L738="1111",TH!M738="1111")),TH!D738,""),"")</f>
        <v/>
      </c>
      <c r="B738" s="36" t="str">
        <f t="shared" si="42"/>
        <v/>
      </c>
      <c r="C738" s="183"/>
      <c r="D738" s="190"/>
      <c r="E738" s="190"/>
      <c r="F738" s="188"/>
      <c r="G738" s="481"/>
      <c r="H738" s="901"/>
      <c r="I738" s="255"/>
      <c r="J738" s="255"/>
      <c r="K738" s="37"/>
      <c r="L738" s="193"/>
      <c r="M738" s="193"/>
      <c r="N738" s="51" t="str">
        <f>IF(AND('331-CT'!$E$7=TH!H804,OR(L738="331",M738="331")),"331",IF(AND(OR(L738="131",M738="131"),H738='131-CT'!$E$7),"131",""))</f>
        <v/>
      </c>
      <c r="O738" s="891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IF(OR(TH!L804=TH!$W$7,M738=TH!$W$7),"x","")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IF(AND(OR(LEFT(TH!L804,2)="15",LEFT(TH!M804,2)="15"),'152-CT'!$J$8=TH!F804),"x","")</f>
        <v/>
      </c>
      <c r="Z738" s="51" t="str">
        <f>IF(AND(OR(LEFT(TH!L804,2)="15",LEFT(TH!M804,2)="15"),TK!$E$7=TH!F804),"x","")</f>
        <v/>
      </c>
      <c r="AA738" s="51" t="str">
        <f>IF(AND(B738&lt;=NKC!$N$8,B738&gt;=NKC!$M$8),"x","")</f>
        <v/>
      </c>
      <c r="AB738" s="923"/>
      <c r="AC738" s="589"/>
      <c r="AD738" s="589"/>
    </row>
    <row r="739" spans="1:33" s="210" customFormat="1" ht="15.75" hidden="1" customHeight="1">
      <c r="A739" s="203" t="str">
        <f>IF(B739&lt;&gt;"",IF(AND(B739&gt;=_TM1,B739&lt;=_TM2,OR(TH!L739="1111",TH!M739="1111")),TH!D739,""),"")</f>
        <v/>
      </c>
      <c r="B739" s="36" t="str">
        <f t="shared" si="42"/>
        <v/>
      </c>
      <c r="C739" s="183"/>
      <c r="D739" s="190"/>
      <c r="E739" s="190"/>
      <c r="F739" s="188"/>
      <c r="G739" s="481"/>
      <c r="H739" s="901"/>
      <c r="I739" s="256"/>
      <c r="J739" s="256"/>
      <c r="K739" s="37"/>
      <c r="L739" s="193"/>
      <c r="M739" s="193"/>
      <c r="N739" s="51" t="str">
        <f>IF(AND('331-CT'!$E$7=TH!H805,OR(L739="331",M739="331")),"331",IF(AND(OR(L739="131",M739="131"),H739='131-CT'!$E$7),"131",""))</f>
        <v/>
      </c>
      <c r="O739" s="891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IF(OR(TH!L805=TH!$W$7,M739=TH!$W$7),"x","")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IF(AND(OR(LEFT(TH!L805,2)="15",LEFT(TH!M805,2)="15"),'152-CT'!$J$8=TH!F805),"x","")</f>
        <v/>
      </c>
      <c r="Z739" s="51" t="str">
        <f>IF(AND(OR(LEFT(TH!L805,2)="15",LEFT(TH!M805,2)="15"),TK!$E$7=TH!F805),"x","")</f>
        <v/>
      </c>
      <c r="AA739" s="51" t="str">
        <f>IF(AND(B739&lt;=NKC!$N$8,B739&gt;=NKC!$M$8),"x","")</f>
        <v/>
      </c>
      <c r="AB739" s="923"/>
      <c r="AC739" s="589"/>
    </row>
    <row r="740" spans="1:33" s="210" customFormat="1" ht="15.75" hidden="1" customHeight="1">
      <c r="A740" s="203" t="str">
        <f>IF(B740&lt;&gt;"",IF(AND(B740&gt;=_TM1,B740&lt;=_TM2,OR(TH!L740="1111",TH!M740="1111")),TH!D740,""),"")</f>
        <v/>
      </c>
      <c r="B740" s="36" t="str">
        <f t="shared" si="42"/>
        <v/>
      </c>
      <c r="C740" s="183"/>
      <c r="D740" s="190"/>
      <c r="E740" s="190"/>
      <c r="F740" s="188"/>
      <c r="G740" s="481"/>
      <c r="H740" s="7"/>
      <c r="I740" s="255"/>
      <c r="J740" s="255"/>
      <c r="K740" s="597"/>
      <c r="L740" s="193"/>
      <c r="M740" s="193"/>
      <c r="N740" s="51" t="str">
        <f>IF(AND('331-CT'!$E$7=TH!H806,OR(L740="331",M740="331")),"331",IF(AND(OR(L740="131",M740="131"),H740='131-CT'!$E$7),"131",""))</f>
        <v/>
      </c>
      <c r="O740" s="891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IF(OR(TH!L806=TH!$W$7,M740=TH!$W$7),"x","")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IF(AND(OR(LEFT(TH!L806,2)="15",LEFT(TH!M806,2)="15"),'152-CT'!$J$8=TH!F806),"x","")</f>
        <v/>
      </c>
      <c r="Z740" s="51" t="str">
        <f>IF(AND(OR(LEFT(TH!L806,2)="15",LEFT(TH!M806,2)="15"),TK!$E$7=TH!F806),"x","")</f>
        <v/>
      </c>
      <c r="AA740" s="51" t="str">
        <f>IF(AND(B740&lt;=NKC!$N$8,B740&gt;=NKC!$M$8),"x","")</f>
        <v/>
      </c>
      <c r="AB740" s="923"/>
      <c r="AC740" s="589"/>
      <c r="AD740" s="589"/>
    </row>
    <row r="741" spans="1:33" s="210" customFormat="1" ht="15.75" hidden="1" customHeight="1">
      <c r="A741" s="203" t="str">
        <f>IF(B741&lt;&gt;"",IF(AND(B741&gt;=_TM1,B741&lt;=_TM2,OR(TH!L741="1111",TH!M741="1111")),TH!D741,""),"")</f>
        <v/>
      </c>
      <c r="B741" s="36" t="str">
        <f t="shared" si="42"/>
        <v/>
      </c>
      <c r="C741" s="183"/>
      <c r="D741" s="190"/>
      <c r="E741" s="190"/>
      <c r="F741" s="188"/>
      <c r="G741" s="481"/>
      <c r="H741" s="7"/>
      <c r="I741" s="256"/>
      <c r="J741" s="256"/>
      <c r="K741" s="37"/>
      <c r="L741" s="193"/>
      <c r="M741" s="193"/>
      <c r="N741" s="51" t="str">
        <f>IF(AND('331-CT'!$E$7=TH!H807,OR(L741="331",M741="331")),"331",IF(AND(OR(L741="131",M741="131"),H741='131-CT'!$E$7),"131",""))</f>
        <v/>
      </c>
      <c r="O741" s="891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IF(OR(TH!L807=TH!$W$7,M741=TH!$W$7),"x","")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IF(AND(OR(LEFT(TH!L807,2)="15",LEFT(TH!M807,2)="15"),'152-CT'!$J$8=TH!F807),"x","")</f>
        <v/>
      </c>
      <c r="Z741" s="51" t="str">
        <f>IF(AND(OR(LEFT(TH!L807,2)="15",LEFT(TH!M807,2)="15"),TK!$E$7=TH!F807),"x","")</f>
        <v/>
      </c>
      <c r="AA741" s="51" t="str">
        <f>IF(AND(B741&lt;=NKC!$N$8,B741&gt;=NKC!$M$8),"x","")</f>
        <v/>
      </c>
      <c r="AB741" s="923"/>
      <c r="AC741" s="589"/>
    </row>
    <row r="742" spans="1:33" s="210" customFormat="1" ht="15.75" hidden="1" customHeight="1">
      <c r="A742" s="203" t="str">
        <f>IF(B742&lt;&gt;"",IF(AND(B742&gt;=_TM1,B742&lt;=_TM2,OR(TH!L742="1111",TH!M742="1111")),TH!D742,""),"")</f>
        <v/>
      </c>
      <c r="B742" s="36" t="str">
        <f t="shared" si="42"/>
        <v/>
      </c>
      <c r="C742" s="183"/>
      <c r="D742" s="190"/>
      <c r="E742" s="190"/>
      <c r="F742" s="191"/>
      <c r="G742" s="481"/>
      <c r="H742" s="44"/>
      <c r="I742" s="255"/>
      <c r="J742" s="255"/>
      <c r="K742" s="37"/>
      <c r="L742" s="193"/>
      <c r="M742" s="193"/>
      <c r="N742" s="51" t="str">
        <f>IF(AND('331-CT'!$E$7=TH!H808,OR(L742="331",M742="331")),"331",IF(AND(OR(L742="131",M742="131"),H742='131-CT'!$E$7),"131",""))</f>
        <v/>
      </c>
      <c r="O742" s="891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IF(OR(TH!L808=TH!$W$7,M742=TH!$W$7),"x","")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IF(AND(OR(LEFT(TH!L808,2)="15",LEFT(TH!M808,2)="15"),'152-CT'!$J$8=TH!F808),"x","")</f>
        <v/>
      </c>
      <c r="Z742" s="51" t="str">
        <f>IF(AND(OR(LEFT(TH!L808,2)="15",LEFT(TH!M808,2)="15"),TK!$E$7=TH!F808),"x","")</f>
        <v/>
      </c>
      <c r="AA742" s="51" t="str">
        <f>IF(AND(B742&lt;=NKC!$N$8,B742&gt;=NKC!$M$8),"x","")</f>
        <v/>
      </c>
      <c r="AB742" s="923"/>
      <c r="AC742" s="589"/>
      <c r="AD742" s="589"/>
    </row>
    <row r="743" spans="1:33" s="210" customFormat="1" ht="15.75" hidden="1" customHeight="1">
      <c r="A743" s="203" t="str">
        <f>IF(B743&lt;&gt;"",IF(AND(B743&gt;=_TM1,B743&lt;=_TM2,OR(TH!L743="1111",TH!M743="1111")),TH!D743,""),"")</f>
        <v/>
      </c>
      <c r="B743" s="36" t="str">
        <f t="shared" si="42"/>
        <v/>
      </c>
      <c r="C743" s="183"/>
      <c r="D743" s="190"/>
      <c r="E743" s="190"/>
      <c r="F743" s="191"/>
      <c r="G743" s="481"/>
      <c r="H743" s="901"/>
      <c r="I743" s="255"/>
      <c r="J743" s="255"/>
      <c r="K743" s="37"/>
      <c r="L743" s="193"/>
      <c r="M743" s="193"/>
      <c r="N743" s="51" t="str">
        <f>IF(AND('331-CT'!$E$7=TH!H809,OR(L743="331",M743="331")),"331",IF(AND(OR(L743="131",M743="131"),H743='131-CT'!$E$7),"131",""))</f>
        <v/>
      </c>
      <c r="O743" s="891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IF(OR(TH!L809=TH!$W$7,M743=TH!$W$7),"x","")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IF(AND(OR(LEFT(TH!L809,2)="15",LEFT(TH!M809,2)="15"),'152-CT'!$J$8=TH!F809),"x","")</f>
        <v/>
      </c>
      <c r="Z743" s="51" t="str">
        <f>IF(AND(OR(LEFT(TH!L809,2)="15",LEFT(TH!M809,2)="15"),TK!$E$7=TH!F809),"x","")</f>
        <v/>
      </c>
      <c r="AA743" s="51" t="str">
        <f>IF(AND(B743&lt;=NKC!$N$8,B743&gt;=NKC!$M$8),"x","")</f>
        <v/>
      </c>
      <c r="AB743" s="923"/>
      <c r="AC743" s="589"/>
      <c r="AD743" s="589"/>
    </row>
    <row r="744" spans="1:33" s="210" customFormat="1" ht="15.75" hidden="1" customHeight="1">
      <c r="A744" s="203" t="str">
        <f>IF(B744&lt;&gt;"",IF(AND(B744&gt;=_TM1,B744&lt;=_TM2,OR(TH!L744="1111",TH!M744="1111")),TH!D744,""),"")</f>
        <v/>
      </c>
      <c r="B744" s="36" t="str">
        <f t="shared" si="42"/>
        <v/>
      </c>
      <c r="C744" s="183"/>
      <c r="D744" s="190"/>
      <c r="E744" s="190"/>
      <c r="F744" s="188"/>
      <c r="G744" s="481"/>
      <c r="H744" s="901"/>
      <c r="I744" s="255"/>
      <c r="J744" s="255"/>
      <c r="K744" s="597"/>
      <c r="L744" s="193"/>
      <c r="M744" s="193"/>
      <c r="N744" s="51" t="str">
        <f>IF(AND('331-CT'!$E$7=TH!H814,OR(L744="331",M744="331")),"331",IF(AND(OR(L744="131",M744="131"),H744='131-CT'!$E$7),"131",""))</f>
        <v/>
      </c>
      <c r="O744" s="891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IF(OR(TH!L814=TH!$W$7,M744=TH!$W$7),"x","")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IF(AND(OR(LEFT(TH!L814,2)="15",LEFT(TH!M814,2)="15"),'152-CT'!$J$8=TH!F814),"x","")</f>
        <v/>
      </c>
      <c r="Z744" s="51" t="str">
        <f>IF(AND(OR(LEFT(TH!L814,2)="15",LEFT(TH!M814,2)="15"),TK!$E$7=TH!F814),"x","")</f>
        <v/>
      </c>
      <c r="AA744" s="51" t="str">
        <f>IF(AND(B744&lt;=NKC!$N$8,B744&gt;=NKC!$M$8),"x","")</f>
        <v/>
      </c>
      <c r="AB744" s="923"/>
      <c r="AC744" s="589"/>
    </row>
    <row r="745" spans="1:33" s="210" customFormat="1" ht="15.75" hidden="1" customHeight="1">
      <c r="A745" s="203" t="str">
        <f>IF(B745&lt;&gt;"",IF(AND(B745&gt;=_TM1,B745&lt;=_TM2,OR(TH!L745="1111",TH!M745="1111")),TH!D745,""),"")</f>
        <v/>
      </c>
      <c r="B745" s="36" t="str">
        <f t="shared" si="42"/>
        <v/>
      </c>
      <c r="C745" s="183"/>
      <c r="D745" s="190"/>
      <c r="E745" s="190"/>
      <c r="F745" s="188"/>
      <c r="G745" s="481"/>
      <c r="H745" s="192"/>
      <c r="I745" s="255"/>
      <c r="J745" s="255"/>
      <c r="K745" s="37"/>
      <c r="L745" s="193"/>
      <c r="M745" s="193"/>
      <c r="N745" s="51" t="str">
        <f>IF(AND('331-CT'!$E$7=TH!H815,OR(L745="331",M745="331")),"331",IF(AND(OR(L745="131",M745="131"),H745='131-CT'!$E$7),"131",""))</f>
        <v/>
      </c>
      <c r="O745" s="891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IF(OR(TH!L815=TH!$W$7,M745=TH!$W$7),"x","")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IF(AND(OR(LEFT(TH!L815,2)="15",LEFT(TH!M815,2)="15"),'152-CT'!$J$8=TH!F815),"x","")</f>
        <v/>
      </c>
      <c r="Z745" s="51" t="str">
        <f>IF(AND(OR(LEFT(TH!L815,2)="15",LEFT(TH!M815,2)="15"),TK!$E$7=TH!F815),"x","")</f>
        <v/>
      </c>
      <c r="AA745" s="51" t="str">
        <f>IF(AND(B745&lt;=NKC!$N$8,B745&gt;=NKC!$M$8),"x","")</f>
        <v/>
      </c>
      <c r="AB745" s="923"/>
      <c r="AC745" s="589"/>
      <c r="AD745" s="589"/>
    </row>
    <row r="746" spans="1:33" s="210" customFormat="1" ht="15.75" hidden="1" customHeight="1">
      <c r="A746" s="203" t="str">
        <f>IF(B746&lt;&gt;"",IF(AND(B746&gt;=_TM1,B746&lt;=_TM2,OR(TH!L746="1111",TH!M746="1111")),TH!D746,""),"")</f>
        <v/>
      </c>
      <c r="B746" s="36" t="str">
        <f t="shared" si="42"/>
        <v/>
      </c>
      <c r="C746" s="183"/>
      <c r="D746" s="190"/>
      <c r="E746" s="190"/>
      <c r="F746" s="191"/>
      <c r="G746" s="481"/>
      <c r="H746" s="192"/>
      <c r="I746" s="255"/>
      <c r="J746" s="255"/>
      <c r="K746" s="37"/>
      <c r="L746" s="193"/>
      <c r="M746" s="193"/>
      <c r="N746" s="51" t="str">
        <f>IF(AND('331-CT'!$E$7=TH!H816,OR(L746="331",M746="331")),"331",IF(AND(OR(L746="131",M746="131"),H746='131-CT'!$E$7),"131",""))</f>
        <v/>
      </c>
      <c r="O746" s="891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IF(OR(TH!L816=TH!$W$7,M746=TH!$W$7),"x","")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IF(AND(OR(LEFT(TH!L816,2)="15",LEFT(TH!M816,2)="15"),'152-CT'!$J$8=TH!F816),"x","")</f>
        <v/>
      </c>
      <c r="Z746" s="51" t="str">
        <f>IF(AND(OR(LEFT(TH!L816,2)="15",LEFT(TH!M816,2)="15"),TK!$E$7=TH!F816),"x","")</f>
        <v/>
      </c>
      <c r="AA746" s="51" t="str">
        <f>IF(AND(B746&lt;=NKC!$N$8,B746&gt;=NKC!$M$8),"x","")</f>
        <v/>
      </c>
      <c r="AB746" s="923"/>
      <c r="AC746" s="589"/>
      <c r="AD746" s="589"/>
    </row>
    <row r="747" spans="1:33" s="210" customFormat="1" ht="15.75" hidden="1" customHeight="1">
      <c r="A747" s="203" t="str">
        <f>IF(B747&lt;&gt;"",IF(AND(B747&gt;=_TM1,B747&lt;=_TM2,OR(TH!L747="1111",TH!M747="1111")),TH!D747,""),"")</f>
        <v/>
      </c>
      <c r="B747" s="36" t="str">
        <f t="shared" si="42"/>
        <v/>
      </c>
      <c r="C747" s="183"/>
      <c r="D747" s="190"/>
      <c r="E747" s="190"/>
      <c r="F747" s="188"/>
      <c r="G747" s="481"/>
      <c r="H747" s="7"/>
      <c r="I747" s="255"/>
      <c r="J747" s="255"/>
      <c r="K747" s="37"/>
      <c r="L747" s="193"/>
      <c r="M747" s="193"/>
      <c r="N747" s="51" t="str">
        <f>IF(AND('331-CT'!$E$7=TH!H817,OR(L747="331",M747="331")),"331",IF(AND(OR(L747="131",M747="131"),H747='131-CT'!$E$7),"131",""))</f>
        <v/>
      </c>
      <c r="O747" s="891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IF(OR(TH!L817=TH!$W$7,M747=TH!$W$7),"x","")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IF(AND(OR(LEFT(TH!L817,2)="15",LEFT(TH!M817,2)="15"),'152-CT'!$J$8=TH!F817),"x","")</f>
        <v/>
      </c>
      <c r="Z747" s="51" t="str">
        <f>IF(AND(OR(LEFT(TH!L817,2)="15",LEFT(TH!M817,2)="15"),TK!$E$7=TH!F817),"x","")</f>
        <v/>
      </c>
      <c r="AA747" s="51" t="str">
        <f>IF(AND(B747&lt;=NKC!$N$8,B747&gt;=NKC!$M$8),"x","")</f>
        <v/>
      </c>
      <c r="AB747" s="923"/>
      <c r="AC747" s="589"/>
    </row>
    <row r="748" spans="1:33" s="210" customFormat="1" ht="15.75" hidden="1" customHeight="1">
      <c r="A748" s="203" t="str">
        <f>IF(B748&lt;&gt;"",IF(AND(B748&gt;=_TM1,B748&lt;=_TM2,OR(TH!L748="1111",TH!M748="1111")),TH!D748,""),"")</f>
        <v/>
      </c>
      <c r="B748" s="36" t="str">
        <f t="shared" si="42"/>
        <v/>
      </c>
      <c r="C748" s="183"/>
      <c r="D748" s="190"/>
      <c r="E748" s="190"/>
      <c r="F748" s="191"/>
      <c r="G748" s="479"/>
      <c r="H748" s="44"/>
      <c r="I748" s="255"/>
      <c r="J748" s="255"/>
      <c r="K748" s="37"/>
      <c r="L748" s="193"/>
      <c r="M748" s="598"/>
      <c r="N748" s="51" t="str">
        <f>IF(AND('331-CT'!$E$7=TH!H354,OR(L748="331",M748="331")),"331",IF(AND(OR(L748="131",M748="131"),H748='131-CT'!$E$7),"131",""))</f>
        <v/>
      </c>
      <c r="O748" s="891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IF(OR(TH!L354=TH!$W$7,M748=TH!$W$7),"x","")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IF(AND(OR(LEFT(TH!L354,2)="15",LEFT(TH!M354,2)="15"),'152-CT'!$J$8=TH!F354),"x","")</f>
        <v/>
      </c>
      <c r="Z748" s="51" t="str">
        <f>IF(AND(OR(LEFT(TH!L354,2)="15",LEFT(TH!M354,2)="15"),TK!$E$7=TH!F354),"x","")</f>
        <v/>
      </c>
      <c r="AA748" s="51" t="str">
        <f>IF(AND(B748&lt;=NKC!$N$8,B748&gt;=NKC!$M$8),"x","")</f>
        <v/>
      </c>
      <c r="AB748" s="923"/>
      <c r="AC748" s="589"/>
      <c r="AF748" s="589"/>
      <c r="AG748" s="589"/>
    </row>
    <row r="749" spans="1:33" s="862" customFormat="1" ht="15.75" hidden="1" customHeight="1">
      <c r="A749" s="203" t="str">
        <f>IF(B749&lt;&gt;"",IF(AND(B749&gt;=_TM1,B749&lt;=_TM2,OR(TH!L749="1111",TH!M749="1111")),TH!D749,""),"")</f>
        <v/>
      </c>
      <c r="B749" s="36" t="str">
        <f t="shared" si="42"/>
        <v/>
      </c>
      <c r="C749" s="183"/>
      <c r="D749" s="190"/>
      <c r="E749" s="190"/>
      <c r="F749" s="191"/>
      <c r="G749" s="479"/>
      <c r="H749" s="44"/>
      <c r="I749" s="257"/>
      <c r="J749" s="255"/>
      <c r="K749" s="37"/>
      <c r="L749" s="193"/>
      <c r="M749" s="598"/>
      <c r="N749" s="51" t="str">
        <f>IF(AND('331-CT'!$E$7=TH!H355,OR(L749="331",M749="331")),"331",IF(AND(OR(L749="131",M749="131"),H749='131-CT'!$E$7),"131",""))</f>
        <v/>
      </c>
      <c r="O749" s="891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IF(OR(TH!L355=TH!$W$7,M749=TH!$W$7),"x","")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IF(AND(OR(LEFT(TH!L355,2)="15",LEFT(TH!M355,2)="15"),'152-CT'!$J$8=TH!F355),"x","")</f>
        <v/>
      </c>
      <c r="Z749" s="51" t="str">
        <f>IF(AND(OR(LEFT(TH!L355,2)="15",LEFT(TH!M355,2)="15"),TK!$E$7=TH!F355),"x","")</f>
        <v/>
      </c>
      <c r="AA749" s="51" t="str">
        <f>IF(AND(B749&lt;=NKC!$N$8,B749&gt;=NKC!$M$8),"x","")</f>
        <v/>
      </c>
      <c r="AB749" s="923"/>
      <c r="AC749" s="589"/>
      <c r="AD749" s="589"/>
      <c r="AE749" s="210"/>
      <c r="AF749" s="589"/>
      <c r="AG749" s="589"/>
    </row>
    <row r="750" spans="1:33" s="210" customFormat="1" ht="15.75" hidden="1" customHeight="1">
      <c r="A750" s="203" t="str">
        <f>IF(B750&lt;&gt;"",IF(AND(B750&gt;=_TM1,B750&lt;=_TM2,OR(TH!L750="1111",TH!M750="1111")),TH!D750,""),"")</f>
        <v/>
      </c>
      <c r="B750" s="36" t="str">
        <f t="shared" si="42"/>
        <v/>
      </c>
      <c r="C750" s="183"/>
      <c r="D750" s="190"/>
      <c r="E750" s="190"/>
      <c r="F750" s="191"/>
      <c r="G750" s="481"/>
      <c r="H750" s="192"/>
      <c r="I750" s="255"/>
      <c r="J750" s="255"/>
      <c r="K750" s="37"/>
      <c r="L750" s="193"/>
      <c r="M750" s="193"/>
      <c r="N750" s="51" t="str">
        <f>IF(AND('331-CT'!$E$7=TH!H818,OR(L750="331",M750="331")),"331",IF(AND(OR(L750="131",M750="131"),H750='131-CT'!$E$7),"131",""))</f>
        <v/>
      </c>
      <c r="O750" s="891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IF(OR(TH!L818=TH!$W$7,M750=TH!$W$7),"x","")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IF(AND(OR(LEFT(TH!L818,2)="15",LEFT(TH!M818,2)="15"),'152-CT'!$J$8=TH!F818),"x","")</f>
        <v/>
      </c>
      <c r="Z750" s="51" t="str">
        <f>IF(AND(OR(LEFT(TH!L818,2)="15",LEFT(TH!M818,2)="15"),TK!$E$7=TH!F818),"x","")</f>
        <v/>
      </c>
      <c r="AA750" s="51" t="str">
        <f>IF(AND(B750&lt;=NKC!$N$8,B750&gt;=NKC!$M$8),"x","")</f>
        <v/>
      </c>
      <c r="AB750" s="923"/>
      <c r="AC750" s="589"/>
      <c r="AD750" s="589"/>
    </row>
    <row r="751" spans="1:33" s="210" customFormat="1" ht="15.75" hidden="1" customHeight="1">
      <c r="A751" s="203" t="str">
        <f>IF(B751&lt;&gt;"",IF(AND(B751&gt;=_TM1,B751&lt;=_TM2,OR(TH!L751="1111",TH!M751="1111")),TH!D751,""),"")</f>
        <v/>
      </c>
      <c r="B751" s="36" t="str">
        <f t="shared" si="42"/>
        <v/>
      </c>
      <c r="C751" s="183"/>
      <c r="D751" s="190"/>
      <c r="E751" s="190"/>
      <c r="F751" s="191"/>
      <c r="G751" s="481"/>
      <c r="H751" s="192"/>
      <c r="I751" s="255"/>
      <c r="J751" s="255"/>
      <c r="K751" s="37"/>
      <c r="L751" s="193"/>
      <c r="M751" s="193"/>
      <c r="N751" s="51" t="str">
        <f>IF(AND('331-CT'!$E$7=TH!H819,OR(L751="331",M751="331")),"331",IF(AND(OR(L751="131",M751="131"),H751='131-CT'!$E$7),"131",""))</f>
        <v/>
      </c>
      <c r="O751" s="891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IF(OR(TH!L819=TH!$W$7,M751=TH!$W$7),"x","")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IF(AND(OR(LEFT(TH!L819,2)="15",LEFT(TH!M819,2)="15"),'152-CT'!$J$8=TH!F819),"x","")</f>
        <v/>
      </c>
      <c r="Z751" s="51" t="str">
        <f>IF(AND(OR(LEFT(TH!L819,2)="15",LEFT(TH!M819,2)="15"),TK!$E$7=TH!F819),"x","")</f>
        <v/>
      </c>
      <c r="AA751" s="51" t="str">
        <f>IF(AND(B751&lt;=NKC!$N$8,B751&gt;=NKC!$M$8),"x","")</f>
        <v/>
      </c>
      <c r="AB751" s="923"/>
      <c r="AC751" s="589"/>
      <c r="AD751" s="589"/>
    </row>
    <row r="752" spans="1:33" s="210" customFormat="1" ht="15.75" hidden="1" customHeight="1">
      <c r="A752" s="203" t="str">
        <f>IF(B752&lt;&gt;"",IF(AND(B752&gt;=_TM1,B752&lt;=_TM2,OR(TH!L752="1111",TH!M752="1111")),TH!D752,""),"")</f>
        <v/>
      </c>
      <c r="B752" s="36" t="str">
        <f t="shared" si="42"/>
        <v/>
      </c>
      <c r="C752" s="183"/>
      <c r="D752" s="190"/>
      <c r="E752" s="190"/>
      <c r="F752" s="191"/>
      <c r="G752" s="481"/>
      <c r="H752" s="192"/>
      <c r="I752" s="256"/>
      <c r="J752" s="256"/>
      <c r="K752" s="37"/>
      <c r="L752" s="193"/>
      <c r="M752" s="193"/>
      <c r="N752" s="51" t="str">
        <f>IF(AND('331-CT'!$E$7=TH!H820,OR(L752="331",M752="331")),"331",IF(AND(OR(L752="131",M752="131"),H752='131-CT'!$E$7),"131",""))</f>
        <v/>
      </c>
      <c r="O752" s="891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IF(OR(TH!L820=TH!$W$7,M752=TH!$W$7),"x","")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IF(AND(OR(LEFT(TH!L820,2)="15",LEFT(TH!M820,2)="15"),'152-CT'!$J$8=TH!F820),"x","")</f>
        <v/>
      </c>
      <c r="Z752" s="51" t="str">
        <f>IF(AND(OR(LEFT(TH!L820,2)="15",LEFT(TH!M820,2)="15"),TK!$E$7=TH!F820),"x","")</f>
        <v/>
      </c>
      <c r="AA752" s="51" t="str">
        <f>IF(AND(B752&lt;=NKC!$N$8,B752&gt;=NKC!$M$8),"x","")</f>
        <v/>
      </c>
      <c r="AB752" s="923"/>
      <c r="AC752" s="589"/>
      <c r="AD752" s="589"/>
    </row>
    <row r="753" spans="1:33" s="210" customFormat="1" ht="15.75" hidden="1" customHeight="1">
      <c r="A753" s="203" t="str">
        <f>IF(B753&lt;&gt;"",IF(AND(B753&gt;=_TM1,B753&lt;=_TM2,OR(TH!L753="1111",TH!M753="1111")),TH!D753,""),"")</f>
        <v/>
      </c>
      <c r="B753" s="36" t="str">
        <f t="shared" si="42"/>
        <v/>
      </c>
      <c r="C753" s="183"/>
      <c r="D753" s="190"/>
      <c r="E753" s="190"/>
      <c r="F753" s="191"/>
      <c r="G753" s="481"/>
      <c r="H753" s="192"/>
      <c r="I753" s="255"/>
      <c r="J753" s="255"/>
      <c r="K753" s="597"/>
      <c r="L753" s="193"/>
      <c r="M753" s="193"/>
      <c r="N753" s="51" t="str">
        <f>IF(AND('331-CT'!$E$7=TH!H821,OR(L753="331",M753="331")),"331",IF(AND(OR(L753="131",M753="131"),H753='131-CT'!$E$7),"131",""))</f>
        <v/>
      </c>
      <c r="O753" s="891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IF(OR(TH!L821=TH!$W$7,M753=TH!$W$7),"x","")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IF(AND(OR(LEFT(TH!L821,2)="15",LEFT(TH!M821,2)="15"),'152-CT'!$J$8=TH!F821),"x","")</f>
        <v/>
      </c>
      <c r="Z753" s="51" t="str">
        <f>IF(AND(OR(LEFT(TH!L821,2)="15",LEFT(TH!M821,2)="15"),TK!$E$7=TH!F821),"x","")</f>
        <v/>
      </c>
      <c r="AA753" s="51" t="str">
        <f>IF(AND(B753&lt;=NKC!$N$8,B753&gt;=NKC!$M$8),"x","")</f>
        <v/>
      </c>
      <c r="AB753" s="923"/>
      <c r="AC753" s="589"/>
    </row>
    <row r="754" spans="1:33" s="210" customFormat="1" ht="15.75" hidden="1" customHeight="1">
      <c r="A754" s="203" t="str">
        <f>IF(B754&lt;&gt;"",IF(AND(B754&gt;=_TM1,B754&lt;=_TM2,OR(TH!L754="1111",TH!M754="1111")),TH!D754,""),"")</f>
        <v/>
      </c>
      <c r="B754" s="36" t="str">
        <f t="shared" si="42"/>
        <v/>
      </c>
      <c r="C754" s="183"/>
      <c r="D754" s="190"/>
      <c r="E754" s="190"/>
      <c r="F754" s="296"/>
      <c r="G754" s="481"/>
      <c r="H754" s="7"/>
      <c r="I754" s="255"/>
      <c r="J754" s="255"/>
      <c r="K754" s="37"/>
      <c r="L754" s="193"/>
      <c r="M754" s="193"/>
      <c r="N754" s="51" t="str">
        <f>IF(AND('331-CT'!$E$7=TH!H822,OR(L754="331",M754="331")),"331",IF(AND(OR(L754="131",M754="131"),H754='131-CT'!$E$7),"131",""))</f>
        <v/>
      </c>
      <c r="O754" s="891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IF(OR(TH!L822=TH!$W$7,M754=TH!$W$7),"x","")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IF(AND(OR(LEFT(TH!L822,2)="15",LEFT(TH!M822,2)="15"),'152-CT'!$J$8=TH!F822),"x","")</f>
        <v/>
      </c>
      <c r="Z754" s="51" t="str">
        <f>IF(AND(OR(LEFT(TH!L822,2)="15",LEFT(TH!M822,2)="15"),TK!$E$7=TH!F822),"x","")</f>
        <v/>
      </c>
      <c r="AA754" s="51" t="str">
        <f>IF(AND(B754&lt;=NKC!$N$8,B754&gt;=NKC!$M$8),"x","")</f>
        <v/>
      </c>
      <c r="AB754" s="923"/>
      <c r="AC754" s="589"/>
      <c r="AD754" s="589"/>
    </row>
    <row r="755" spans="1:33" s="210" customFormat="1" ht="15.75" hidden="1" customHeight="1">
      <c r="A755" s="203" t="str">
        <f>IF(B755&lt;&gt;"",IF(AND(B755&gt;=_TM1,B755&lt;=_TM2,OR(TH!L755="1111",TH!M755="1111")),TH!D755,""),"")</f>
        <v/>
      </c>
      <c r="B755" s="36" t="str">
        <f t="shared" si="42"/>
        <v/>
      </c>
      <c r="C755" s="183"/>
      <c r="D755" s="190"/>
      <c r="E755" s="190"/>
      <c r="F755" s="191"/>
      <c r="G755" s="481"/>
      <c r="H755" s="7"/>
      <c r="I755" s="255"/>
      <c r="J755" s="255"/>
      <c r="K755" s="597"/>
      <c r="L755" s="193"/>
      <c r="M755" s="193"/>
      <c r="N755" s="51" t="str">
        <f>IF(AND('331-CT'!$E$7=TH!H823,OR(L755="331",M755="331")),"331",IF(AND(OR(L755="131",M755="131"),H755='131-CT'!$E$7),"131",""))</f>
        <v/>
      </c>
      <c r="O755" s="891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IF(OR(TH!L823=TH!$W$7,M755=TH!$W$7),"x","")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IF(AND(OR(LEFT(TH!L823,2)="15",LEFT(TH!M823,2)="15"),'152-CT'!$J$8=TH!F823),"x","")</f>
        <v/>
      </c>
      <c r="Z755" s="51" t="str">
        <f>IF(AND(OR(LEFT(TH!L823,2)="15",LEFT(TH!M823,2)="15"),TK!$E$7=TH!F823),"x","")</f>
        <v/>
      </c>
      <c r="AA755" s="51" t="str">
        <f>IF(AND(B755&lt;=NKC!$N$8,B755&gt;=NKC!$M$8),"x","")</f>
        <v/>
      </c>
      <c r="AB755" s="923"/>
      <c r="AC755" s="589"/>
      <c r="AD755" s="589"/>
    </row>
    <row r="756" spans="1:33" s="210" customFormat="1" ht="15.75" hidden="1" customHeight="1">
      <c r="A756" s="203" t="str">
        <f>IF(B756&lt;&gt;"",IF(AND(B756&gt;=_TM1,B756&lt;=_TM2,OR(TH!L756="1111",TH!M756="1111")),TH!D756,""),"")</f>
        <v/>
      </c>
      <c r="B756" s="36" t="str">
        <f t="shared" si="42"/>
        <v/>
      </c>
      <c r="C756" s="183"/>
      <c r="D756" s="190"/>
      <c r="E756" s="190"/>
      <c r="F756" s="191"/>
      <c r="G756" s="481"/>
      <c r="H756" s="192"/>
      <c r="I756" s="257"/>
      <c r="J756" s="257"/>
      <c r="K756" s="37"/>
      <c r="L756" s="193"/>
      <c r="M756" s="193"/>
      <c r="N756" s="51" t="str">
        <f>IF(AND('331-CT'!$E$7=TH!H824,OR(L756="331",M756="331")),"331",IF(AND(OR(L756="131",M756="131"),H756='131-CT'!$E$7),"131",""))</f>
        <v/>
      </c>
      <c r="O756" s="891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IF(OR(TH!L824=TH!$W$7,M756=TH!$W$7),"x","")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IF(AND(OR(LEFT(TH!L824,2)="15",LEFT(TH!M824,2)="15"),'152-CT'!$J$8=TH!F824),"x","")</f>
        <v/>
      </c>
      <c r="Z756" s="51" t="str">
        <f>IF(AND(OR(LEFT(TH!L824,2)="15",LEFT(TH!M824,2)="15"),TK!$E$7=TH!F824),"x","")</f>
        <v/>
      </c>
      <c r="AA756" s="51" t="str">
        <f>IF(AND(B756&lt;=NKC!$N$8,B756&gt;=NKC!$M$8),"x","")</f>
        <v/>
      </c>
      <c r="AB756" s="923"/>
      <c r="AC756" s="589"/>
      <c r="AD756" s="589"/>
    </row>
    <row r="757" spans="1:33" s="210" customFormat="1" ht="15.75" hidden="1" customHeight="1">
      <c r="A757" s="203" t="str">
        <f>IF(B757&lt;&gt;"",IF(AND(B757&gt;=_TM1,B757&lt;=_TM2,OR(TH!L757="1111",TH!M757="1111")),TH!D757,""),"")</f>
        <v/>
      </c>
      <c r="B757" s="36" t="str">
        <f t="shared" si="42"/>
        <v/>
      </c>
      <c r="C757" s="183"/>
      <c r="D757" s="190"/>
      <c r="E757" s="190"/>
      <c r="F757" s="191"/>
      <c r="G757" s="481"/>
      <c r="H757" s="7"/>
      <c r="I757" s="255"/>
      <c r="J757" s="255"/>
      <c r="K757" s="597"/>
      <c r="L757" s="193"/>
      <c r="M757" s="193"/>
      <c r="N757" s="51" t="str">
        <f>IF(AND('331-CT'!$E$7=TH!H825,OR(L757="331",M757="331")),"331",IF(AND(OR(L757="131",M757="131"),H757='131-CT'!$E$7),"131",""))</f>
        <v/>
      </c>
      <c r="O757" s="891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IF(OR(TH!L825=TH!$W$7,M757=TH!$W$7),"x","")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IF(AND(OR(LEFT(TH!L825,2)="15",LEFT(TH!M825,2)="15"),'152-CT'!$J$8=TH!F825),"x","")</f>
        <v/>
      </c>
      <c r="Z757" s="51" t="str">
        <f>IF(AND(OR(LEFT(TH!L825,2)="15",LEFT(TH!M825,2)="15"),TK!$E$7=TH!F825),"x","")</f>
        <v/>
      </c>
      <c r="AA757" s="51" t="str">
        <f>IF(AND(B757&lt;=NKC!$N$8,B757&gt;=NKC!$M$8),"x","")</f>
        <v/>
      </c>
      <c r="AB757" s="923"/>
      <c r="AC757" s="589"/>
      <c r="AD757" s="589"/>
    </row>
    <row r="758" spans="1:33" s="210" customFormat="1" ht="15.75" hidden="1" customHeight="1">
      <c r="A758" s="203" t="str">
        <f>IF(B758&lt;&gt;"",IF(AND(B758&gt;=_TM1,B758&lt;=_TM2,OR(TH!L758="1111",TH!M758="1111")),TH!D758,""),"")</f>
        <v/>
      </c>
      <c r="B758" s="36" t="str">
        <f t="shared" si="42"/>
        <v/>
      </c>
      <c r="C758" s="183"/>
      <c r="D758" s="190"/>
      <c r="E758" s="190"/>
      <c r="F758" s="191"/>
      <c r="G758" s="481"/>
      <c r="H758" s="7"/>
      <c r="I758" s="255"/>
      <c r="J758" s="255"/>
      <c r="K758" s="37"/>
      <c r="L758" s="193"/>
      <c r="M758" s="193"/>
      <c r="N758" s="51" t="str">
        <f>IF(AND('331-CT'!$E$7=TH!H826,OR(L758="331",M758="331")),"331",IF(AND(OR(L758="131",M758="131"),H758='131-CT'!$E$7),"131",""))</f>
        <v/>
      </c>
      <c r="O758" s="891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IF(OR(TH!L826=TH!$W$7,M758=TH!$W$7),"x","")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IF(AND(OR(LEFT(TH!L826,2)="15",LEFT(TH!M826,2)="15"),'152-CT'!$J$8=TH!F826),"x","")</f>
        <v/>
      </c>
      <c r="Z758" s="51" t="str">
        <f>IF(AND(OR(LEFT(TH!L826,2)="15",LEFT(TH!M826,2)="15"),TK!$E$7=TH!F826),"x","")</f>
        <v/>
      </c>
      <c r="AA758" s="51" t="str">
        <f>IF(AND(B758&lt;=NKC!$N$8,B758&gt;=NKC!$M$8),"x","")</f>
        <v/>
      </c>
      <c r="AB758" s="923"/>
      <c r="AC758" s="589"/>
      <c r="AD758" s="589"/>
    </row>
    <row r="759" spans="1:33" s="210" customFormat="1" ht="15.75" hidden="1" customHeight="1">
      <c r="A759" s="203" t="str">
        <f>IF(B759&lt;&gt;"",IF(AND(B759&gt;=_TM1,B759&lt;=_TM2,OR(TH!L759="1111",TH!M759="1111")),TH!D759,""),"")</f>
        <v/>
      </c>
      <c r="B759" s="36" t="str">
        <f t="shared" si="42"/>
        <v/>
      </c>
      <c r="C759" s="183"/>
      <c r="D759" s="190"/>
      <c r="E759" s="190"/>
      <c r="F759" s="191"/>
      <c r="G759" s="481"/>
      <c r="H759" s="7"/>
      <c r="I759" s="255"/>
      <c r="J759" s="255"/>
      <c r="K759" s="597"/>
      <c r="L759" s="193"/>
      <c r="M759" s="193"/>
      <c r="N759" s="51" t="str">
        <f>IF(AND('331-CT'!$E$7=TH!H827,OR(L759="331",M759="331")),"331",IF(AND(OR(L759="131",M759="131"),H759='131-CT'!$E$7),"131",""))</f>
        <v/>
      </c>
      <c r="O759" s="891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IF(OR(TH!L827=TH!$W$7,M759=TH!$W$7),"x","")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IF(AND(OR(LEFT(TH!L827,2)="15",LEFT(TH!M827,2)="15"),'152-CT'!$J$8=TH!F827),"x","")</f>
        <v/>
      </c>
      <c r="Z759" s="51" t="str">
        <f>IF(AND(OR(LEFT(TH!L827,2)="15",LEFT(TH!M827,2)="15"),TK!$E$7=TH!F827),"x","")</f>
        <v/>
      </c>
      <c r="AA759" s="51" t="str">
        <f>IF(AND(B759&lt;=NKC!$N$8,B759&gt;=NKC!$M$8),"x","")</f>
        <v/>
      </c>
      <c r="AB759" s="923"/>
      <c r="AC759" s="589"/>
      <c r="AD759" s="589"/>
    </row>
    <row r="760" spans="1:33" s="210" customFormat="1" ht="15.75" hidden="1" customHeight="1">
      <c r="A760" s="203" t="str">
        <f>IF(B760&lt;&gt;"",IF(AND(B760&gt;=_TM1,B760&lt;=_TM2,OR(TH!L760="1111",TH!M760="1111")),TH!D760,""),"")</f>
        <v/>
      </c>
      <c r="B760" s="36" t="str">
        <f t="shared" si="42"/>
        <v/>
      </c>
      <c r="C760" s="183"/>
      <c r="D760" s="190"/>
      <c r="E760" s="190"/>
      <c r="F760" s="191"/>
      <c r="G760" s="481"/>
      <c r="H760" s="7"/>
      <c r="I760" s="256"/>
      <c r="J760" s="257"/>
      <c r="K760" s="37"/>
      <c r="L760" s="193"/>
      <c r="M760" s="193"/>
      <c r="N760" s="51" t="str">
        <f>IF(AND('331-CT'!$E$7=TH!H386,OR(L760="331",M760="331")),"331",IF(AND(OR(L760="131",M760="131"),H760='131-CT'!$E$7),"131",""))</f>
        <v/>
      </c>
      <c r="O760" s="891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IF(OR(TH!L386=TH!$W$7,M760=TH!$W$7),"x","")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IF(AND(OR(LEFT(TH!L386,2)="15",LEFT(TH!M386,2)="15"),'152-CT'!$J$8=TH!F386),"x","")</f>
        <v/>
      </c>
      <c r="Z760" s="51" t="str">
        <f>IF(AND(OR(LEFT(TH!L386,2)="15",LEFT(TH!M386,2)="15"),TK!$E$7=TH!F386),"x","")</f>
        <v/>
      </c>
      <c r="AA760" s="51" t="str">
        <f>IF(AND(B760&lt;=NKC!$N$8,B760&gt;=NKC!$M$8),"x","")</f>
        <v/>
      </c>
      <c r="AB760" s="923"/>
      <c r="AC760" s="589"/>
      <c r="AD760" s="589"/>
    </row>
    <row r="761" spans="1:33" s="210" customFormat="1" ht="15.75" hidden="1" customHeight="1">
      <c r="A761" s="203" t="str">
        <f>IF(B761&lt;&gt;"",IF(AND(B761&gt;=_TM1,B761&lt;=_TM2,OR(TH!L761="1111",TH!M761="1111")),TH!D761,""),"")</f>
        <v/>
      </c>
      <c r="B761" s="36" t="str">
        <f t="shared" si="42"/>
        <v/>
      </c>
      <c r="C761" s="183"/>
      <c r="D761" s="190"/>
      <c r="E761" s="190"/>
      <c r="F761" s="191"/>
      <c r="G761" s="481"/>
      <c r="H761" s="7"/>
      <c r="I761" s="255"/>
      <c r="J761" s="257"/>
      <c r="K761" s="37"/>
      <c r="L761" s="193"/>
      <c r="M761" s="193"/>
      <c r="N761" s="51" t="str">
        <f>IF(AND('331-CT'!$E$7=TH!H387,OR(L761="331",M761="331")),"331",IF(AND(OR(L761="131",M761="131"),H761='131-CT'!$E$7),"131",""))</f>
        <v/>
      </c>
      <c r="O761" s="891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IF(OR(TH!L387=TH!$W$7,M761=TH!$W$7),"x","")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IF(AND(OR(LEFT(TH!L387,2)="15",LEFT(TH!M387,2)="15"),'152-CT'!$J$8=TH!F387),"x","")</f>
        <v/>
      </c>
      <c r="Z761" s="51" t="str">
        <f>IF(AND(OR(LEFT(TH!L387,2)="15",LEFT(TH!M387,2)="15"),TK!$E$7=TH!F387),"x","")</f>
        <v/>
      </c>
      <c r="AA761" s="51" t="str">
        <f>IF(AND(B761&lt;=NKC!$N$8,B761&gt;=NKC!$M$8),"x","")</f>
        <v/>
      </c>
      <c r="AB761" s="923"/>
      <c r="AC761" s="589"/>
    </row>
    <row r="762" spans="1:33" s="210" customFormat="1" ht="15.75" hidden="1" customHeight="1">
      <c r="A762" s="203" t="str">
        <f>IF(B762&lt;&gt;"",IF(AND(B762&gt;=_TM1,B762&lt;=_TM2,OR(TH!L762="1111",TH!M762="1111")),TH!D762,""),"")</f>
        <v/>
      </c>
      <c r="B762" s="36" t="str">
        <f t="shared" si="42"/>
        <v/>
      </c>
      <c r="C762" s="183"/>
      <c r="D762" s="190"/>
      <c r="E762" s="190"/>
      <c r="F762" s="191"/>
      <c r="G762" s="481"/>
      <c r="H762" s="7"/>
      <c r="I762" s="255"/>
      <c r="J762" s="255"/>
      <c r="K762" s="597"/>
      <c r="L762" s="193"/>
      <c r="M762" s="193"/>
      <c r="N762" s="51" t="str">
        <f>IF(AND('331-CT'!$E$7=TH!H388,OR(L762="331",M762="331")),"331",IF(AND(OR(L762="131",M762="131"),H762='131-CT'!$E$7),"131",""))</f>
        <v/>
      </c>
      <c r="O762" s="891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IF(OR(TH!L388=TH!$W$7,M762=TH!$W$7),"x","")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IF(AND(OR(LEFT(TH!L388,2)="15",LEFT(TH!M388,2)="15"),'152-CT'!$J$8=TH!F388),"x","")</f>
        <v/>
      </c>
      <c r="Z762" s="51" t="str">
        <f>IF(AND(OR(LEFT(TH!L388,2)="15",LEFT(TH!M388,2)="15"),TK!$E$7=TH!F388),"x","")</f>
        <v/>
      </c>
      <c r="AA762" s="51" t="str">
        <f>IF(AND(B762&lt;=NKC!$N$8,B762&gt;=NKC!$M$8),"x","")</f>
        <v/>
      </c>
      <c r="AB762" s="923"/>
      <c r="AC762" s="589"/>
      <c r="AD762" s="589"/>
      <c r="AF762" s="589"/>
      <c r="AG762" s="589"/>
    </row>
    <row r="763" spans="1:33" s="210" customFormat="1" ht="15.75" hidden="1" customHeight="1">
      <c r="A763" s="203" t="str">
        <f>IF(B763&lt;&gt;"",IF(AND(B763&gt;=_TM1,B763&lt;=_TM2,OR(TH!L763="1111",TH!M763="1111")),TH!D763,""),"")</f>
        <v/>
      </c>
      <c r="B763" s="36" t="str">
        <f t="shared" si="42"/>
        <v/>
      </c>
      <c r="C763" s="183"/>
      <c r="D763" s="190"/>
      <c r="E763" s="183"/>
      <c r="F763" s="910"/>
      <c r="G763" s="481"/>
      <c r="H763" s="7"/>
      <c r="I763" s="255"/>
      <c r="J763" s="255"/>
      <c r="K763" s="37"/>
      <c r="L763" s="193"/>
      <c r="M763" s="193"/>
      <c r="N763" s="51" t="str">
        <f>IF(AND('331-CT'!$E$7=TH!H390,OR(L763="331",M763="331")),"331",IF(AND(OR(L763="131",M763="131"),H763='131-CT'!$E$7),"131",""))</f>
        <v/>
      </c>
      <c r="O763" s="891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IF(OR(TH!L390=TH!$W$7,M763=TH!$W$7),"x","")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IF(AND(OR(LEFT(TH!L390,2)="15",LEFT(TH!M390,2)="15"),'152-CT'!$J$8=TH!F390),"x","")</f>
        <v/>
      </c>
      <c r="Z763" s="51" t="str">
        <f>IF(AND(OR(LEFT(TH!L390,2)="15",LEFT(TH!M390,2)="15"),TK!$E$7=TH!F390),"x","")</f>
        <v/>
      </c>
      <c r="AA763" s="51" t="str">
        <f>IF(AND(B763&lt;=NKC!$N$8,B763&gt;=NKC!$M$8),"x","")</f>
        <v/>
      </c>
      <c r="AB763" s="923"/>
      <c r="AC763" s="589"/>
      <c r="AD763" s="589"/>
      <c r="AF763" s="589"/>
      <c r="AG763" s="589"/>
    </row>
    <row r="764" spans="1:33" s="210" customFormat="1" ht="15.75" hidden="1" customHeight="1">
      <c r="A764" s="203" t="str">
        <f>IF(B764&lt;&gt;"",IF(AND(B764&gt;=_TM1,B764&lt;=_TM2,OR(TH!L764="1111",TH!M764="1111")),TH!D764,""),"")</f>
        <v/>
      </c>
      <c r="B764" s="36" t="str">
        <f t="shared" si="42"/>
        <v/>
      </c>
      <c r="C764" s="183"/>
      <c r="D764" s="190"/>
      <c r="E764" s="183"/>
      <c r="F764" s="188"/>
      <c r="G764" s="481"/>
      <c r="H764" s="7"/>
      <c r="I764" s="255"/>
      <c r="J764" s="255"/>
      <c r="K764" s="37"/>
      <c r="L764" s="193"/>
      <c r="M764" s="193"/>
      <c r="N764" s="51" t="str">
        <f>IF(AND('331-CT'!$E$7=TH!H391,OR(L764="331",M764="331")),"331",IF(AND(OR(L764="131",M764="131"),H764='131-CT'!$E$7),"131",""))</f>
        <v/>
      </c>
      <c r="O764" s="891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IF(OR(TH!L391=TH!$W$7,M764=TH!$W$7),"x","")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IF(AND(OR(LEFT(TH!L391,2)="15",LEFT(TH!M391,2)="15"),'152-CT'!$J$8=TH!F391),"x","")</f>
        <v/>
      </c>
      <c r="Z764" s="51" t="str">
        <f>IF(AND(OR(LEFT(TH!L391,2)="15",LEFT(TH!M391,2)="15"),TK!$E$7=TH!F391),"x","")</f>
        <v/>
      </c>
      <c r="AA764" s="51" t="str">
        <f>IF(AND(B764&lt;=NKC!$N$8,B764&gt;=NKC!$M$8),"x","")</f>
        <v/>
      </c>
      <c r="AB764" s="923"/>
      <c r="AC764" s="589"/>
      <c r="AD764" s="589"/>
      <c r="AF764" s="589"/>
      <c r="AG764" s="589"/>
    </row>
    <row r="765" spans="1:33" s="210" customFormat="1" ht="15.75" hidden="1" customHeight="1">
      <c r="A765" s="203" t="str">
        <f>IF(B765&lt;&gt;"",IF(AND(B765&gt;=_TM1,B765&lt;=_TM2,OR(TH!L765="1111",TH!M765="1111")),TH!D765,""),"")</f>
        <v/>
      </c>
      <c r="B765" s="36" t="str">
        <f t="shared" si="42"/>
        <v/>
      </c>
      <c r="C765" s="183"/>
      <c r="D765" s="190"/>
      <c r="E765" s="183"/>
      <c r="F765" s="191"/>
      <c r="G765" s="481"/>
      <c r="H765" s="7"/>
      <c r="I765" s="255"/>
      <c r="J765" s="255"/>
      <c r="K765" s="597"/>
      <c r="L765" s="193"/>
      <c r="M765" s="193"/>
      <c r="N765" s="51" t="str">
        <f>IF(AND('331-CT'!$E$7=TH!H392,OR(L765="331",M765="331")),"331",IF(AND(OR(L765="131",M765="131"),H765='131-CT'!$E$7),"131",""))</f>
        <v/>
      </c>
      <c r="O765" s="891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IF(OR(TH!L392=TH!$W$7,M765=TH!$W$7),"x","")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IF(AND(OR(LEFT(TH!L392,2)="15",LEFT(TH!M392,2)="15"),'152-CT'!$J$8=TH!F392),"x","")</f>
        <v/>
      </c>
      <c r="Z765" s="51" t="str">
        <f>IF(AND(OR(LEFT(TH!L392,2)="15",LEFT(TH!M392,2)="15"),TK!$E$7=TH!F392),"x","")</f>
        <v/>
      </c>
      <c r="AA765" s="51" t="str">
        <f>IF(AND(B765&lt;=NKC!$N$8,B765&gt;=NKC!$M$8),"x","")</f>
        <v/>
      </c>
      <c r="AB765" s="923"/>
      <c r="AC765" s="589"/>
      <c r="AD765" s="589"/>
      <c r="AF765" s="589"/>
      <c r="AG765" s="589"/>
    </row>
    <row r="766" spans="1:33" s="210" customFormat="1" ht="15.75" hidden="1" customHeight="1">
      <c r="A766" s="203" t="str">
        <f>IF(B766&lt;&gt;"",IF(AND(B766&gt;=_TM1,B766&lt;=_TM2,OR(TH!L766="1111",TH!M766="1111")),TH!D766,""),"")</f>
        <v/>
      </c>
      <c r="B766" s="36" t="str">
        <f t="shared" si="42"/>
        <v/>
      </c>
      <c r="C766" s="183"/>
      <c r="D766" s="190"/>
      <c r="E766" s="183"/>
      <c r="F766" s="191"/>
      <c r="G766" s="481"/>
      <c r="H766" s="7"/>
      <c r="I766" s="255"/>
      <c r="J766" s="255"/>
      <c r="K766" s="597"/>
      <c r="L766" s="193"/>
      <c r="M766" s="193"/>
      <c r="N766" s="51" t="str">
        <f>IF(AND('331-CT'!$E$7=TH!H393,OR(L766="331",M766="331")),"331",IF(AND(OR(L766="131",M766="131"),H766='131-CT'!$E$7),"131",""))</f>
        <v/>
      </c>
      <c r="O766" s="891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IF(OR(TH!L393=TH!$W$7,M766=TH!$W$7),"x","")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IF(AND(OR(LEFT(TH!L393,2)="15",LEFT(TH!M393,2)="15"),'152-CT'!$J$8=TH!F393),"x","")</f>
        <v/>
      </c>
      <c r="Z766" s="51" t="str">
        <f>IF(AND(OR(LEFT(TH!L393,2)="15",LEFT(TH!M393,2)="15"),TK!$E$7=TH!F393),"x","")</f>
        <v/>
      </c>
      <c r="AA766" s="51" t="str">
        <f>IF(AND(B766&lt;=NKC!$N$8,B766&gt;=NKC!$M$8),"x","")</f>
        <v/>
      </c>
      <c r="AB766" s="923"/>
      <c r="AC766" s="589"/>
      <c r="AD766" s="589"/>
    </row>
    <row r="767" spans="1:33" s="210" customFormat="1" ht="15.75" hidden="1" customHeight="1">
      <c r="A767" s="203" t="str">
        <f>IF(B767&lt;&gt;"",IF(AND(B767&gt;=_TM1,B767&lt;=_TM2,OR(TH!L767="1111",TH!M767="1111")),TH!D767,""),"")</f>
        <v/>
      </c>
      <c r="B767" s="36" t="str">
        <f t="shared" si="42"/>
        <v/>
      </c>
      <c r="C767" s="183"/>
      <c r="D767" s="903"/>
      <c r="E767" s="903"/>
      <c r="F767" s="904"/>
      <c r="G767" s="905"/>
      <c r="H767" s="906"/>
      <c r="I767" s="253"/>
      <c r="J767" s="254"/>
      <c r="K767" s="50"/>
      <c r="L767" s="891"/>
      <c r="M767" s="891"/>
      <c r="N767" s="51" t="str">
        <f>IF(AND('331-CT'!$E$7=TH!H389,OR(L767="331",M767="331")),"331",IF(AND(OR(L767="131",M767="131"),H767='131-CT'!$E$7),"131",""))</f>
        <v/>
      </c>
      <c r="O767" s="891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IF(OR(TH!L389=TH!$W$7,M767=TH!$W$7),"x","")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IF(AND(OR(LEFT(TH!L389,2)="15",LEFT(TH!M389,2)="15"),'152-CT'!$J$8=TH!F389),"x","")</f>
        <v/>
      </c>
      <c r="Z767" s="51" t="str">
        <f>IF(AND(OR(LEFT(TH!L389,2)="15",LEFT(TH!M389,2)="15"),TK!$E$7=TH!F389),"x","")</f>
        <v/>
      </c>
      <c r="AA767" s="51" t="str">
        <f>IF(AND(B767&lt;=NKC!$N$8,B767&gt;=NKC!$M$8),"x","")</f>
        <v/>
      </c>
      <c r="AB767" s="923"/>
      <c r="AC767" s="589"/>
      <c r="AF767" s="589"/>
      <c r="AG767" s="589"/>
    </row>
    <row r="768" spans="1:33" s="210" customFormat="1" ht="15.75" hidden="1" customHeight="1">
      <c r="A768" s="203" t="str">
        <f>IF(B768&lt;&gt;"",IF(AND(B768&gt;=_TM1,B768&lt;=_TM2,OR(TH!L768="1111",TH!M768="1111")),TH!D768,""),"")</f>
        <v/>
      </c>
      <c r="B768" s="36" t="str">
        <f t="shared" si="42"/>
        <v/>
      </c>
      <c r="C768" s="183"/>
      <c r="D768" s="190"/>
      <c r="E768" s="183"/>
      <c r="F768" s="188"/>
      <c r="G768" s="481"/>
      <c r="H768" s="7"/>
      <c r="I768" s="255"/>
      <c r="J768" s="255"/>
      <c r="K768" s="37"/>
      <c r="L768" s="193"/>
      <c r="M768" s="193"/>
      <c r="N768" s="51" t="str">
        <f>IF(AND('331-CT'!$E$7=TH!H394,OR(L768="331",M768="331")),"331",IF(AND(OR(L768="131",M768="131"),H768='131-CT'!$E$7),"131",""))</f>
        <v/>
      </c>
      <c r="O768" s="891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IF(OR(TH!L394=TH!$W$7,M768=TH!$W$7),"x","")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IF(AND(OR(LEFT(TH!L394,2)="15",LEFT(TH!M394,2)="15"),'152-CT'!$J$8=TH!F394),"x","")</f>
        <v/>
      </c>
      <c r="Z768" s="51" t="str">
        <f>IF(AND(OR(LEFT(TH!L394,2)="15",LEFT(TH!M394,2)="15"),TK!$E$7=TH!F394),"x","")</f>
        <v/>
      </c>
      <c r="AA768" s="51" t="str">
        <f>IF(AND(B768&lt;=NKC!$N$8,B768&gt;=NKC!$M$8),"x","")</f>
        <v/>
      </c>
      <c r="AB768" s="923"/>
      <c r="AC768" s="589"/>
      <c r="AD768" s="589"/>
    </row>
    <row r="769" spans="1:33" s="210" customFormat="1" ht="15.75" hidden="1" customHeight="1">
      <c r="A769" s="203" t="str">
        <f>IF(B769&lt;&gt;"",IF(AND(B769&gt;=_TM1,B769&lt;=_TM2,OR(TH!L769="1111",TH!M769="1111")),TH!D769,""),"")</f>
        <v/>
      </c>
      <c r="B769" s="36" t="str">
        <f t="shared" si="42"/>
        <v/>
      </c>
      <c r="C769" s="183"/>
      <c r="D769" s="190"/>
      <c r="E769" s="183"/>
      <c r="F769" s="910"/>
      <c r="G769" s="481"/>
      <c r="H769" s="7"/>
      <c r="I769" s="255"/>
      <c r="J769" s="255"/>
      <c r="K769" s="597"/>
      <c r="L769" s="193"/>
      <c r="M769" s="193"/>
      <c r="N769" s="51" t="str">
        <f>IF(AND('331-CT'!$E$7=TH!H395,OR(L769="331",M769="331")),"331",IF(AND(OR(L769="131",M769="131"),H769='131-CT'!$E$7),"131",""))</f>
        <v/>
      </c>
      <c r="O769" s="891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IF(OR(TH!L395=TH!$W$7,M769=TH!$W$7),"x","")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IF(AND(OR(LEFT(TH!L395,2)="15",LEFT(TH!M395,2)="15"),'152-CT'!$J$8=TH!F395),"x","")</f>
        <v/>
      </c>
      <c r="Z769" s="51" t="str">
        <f>IF(AND(OR(LEFT(TH!L395,2)="15",LEFT(TH!M395,2)="15"),TK!$E$7=TH!F395),"x","")</f>
        <v/>
      </c>
      <c r="AA769" s="51" t="str">
        <f>IF(AND(B769&lt;=NKC!$N$8,B769&gt;=NKC!$M$8),"x","")</f>
        <v/>
      </c>
      <c r="AB769" s="923"/>
      <c r="AC769" s="589"/>
      <c r="AD769" s="589"/>
    </row>
    <row r="770" spans="1:33" s="210" customFormat="1" ht="15.75" hidden="1" customHeight="1">
      <c r="A770" s="203" t="str">
        <f>IF(B770&lt;&gt;"",IF(AND(B770&gt;=_TM1,B770&lt;=_TM2,OR(TH!L770="1111",TH!M770="1111")),TH!D770,""),"")</f>
        <v/>
      </c>
      <c r="B770" s="36" t="str">
        <f t="shared" si="42"/>
        <v/>
      </c>
      <c r="C770" s="183"/>
      <c r="D770" s="190"/>
      <c r="E770" s="183"/>
      <c r="F770" s="188"/>
      <c r="G770" s="481"/>
      <c r="H770" s="7"/>
      <c r="I770" s="255"/>
      <c r="J770" s="255"/>
      <c r="K770" s="37"/>
      <c r="L770" s="193"/>
      <c r="M770" s="193"/>
      <c r="N770" s="51" t="str">
        <f>IF(AND('331-CT'!$E$7=TH!H396,OR(L770="331",M770="331")),"331",IF(AND(OR(L770="131",M770="131"),H770='131-CT'!$E$7),"131",""))</f>
        <v/>
      </c>
      <c r="O770" s="891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IF(OR(TH!L396=TH!$W$7,M770=TH!$W$7),"x","")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IF(AND(OR(LEFT(TH!L396,2)="15",LEFT(TH!M396,2)="15"),'152-CT'!$J$8=TH!F396),"x","")</f>
        <v/>
      </c>
      <c r="Z770" s="51" t="str">
        <f>IF(AND(OR(LEFT(TH!L396,2)="15",LEFT(TH!M396,2)="15"),TK!$E$7=TH!F396),"x","")</f>
        <v/>
      </c>
      <c r="AA770" s="51" t="str">
        <f>IF(AND(B770&lt;=NKC!$N$8,B770&gt;=NKC!$M$8),"x","")</f>
        <v/>
      </c>
      <c r="AB770" s="923"/>
      <c r="AC770" s="589"/>
      <c r="AD770" s="589"/>
    </row>
    <row r="771" spans="1:33" s="210" customFormat="1" ht="15.75" hidden="1" customHeight="1">
      <c r="A771" s="203" t="str">
        <f>IF(B771&lt;&gt;"",IF(AND(B771&gt;=_TM1,B771&lt;=_TM2,OR(TH!L771="1111",TH!M771="1111")),TH!D771,""),"")</f>
        <v/>
      </c>
      <c r="B771" s="36" t="str">
        <f t="shared" si="42"/>
        <v/>
      </c>
      <c r="C771" s="183"/>
      <c r="D771" s="190"/>
      <c r="E771" s="183"/>
      <c r="F771" s="188"/>
      <c r="G771" s="481"/>
      <c r="H771" s="7"/>
      <c r="I771" s="255"/>
      <c r="J771" s="255"/>
      <c r="K771" s="597"/>
      <c r="L771" s="193"/>
      <c r="M771" s="193"/>
      <c r="N771" s="51" t="str">
        <f>IF(AND('331-CT'!$E$7=TH!H397,OR(L771="331",M771="331")),"331",IF(AND(OR(L771="131",M771="131"),H771='131-CT'!$E$7),"131",""))</f>
        <v/>
      </c>
      <c r="O771" s="891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IF(OR(TH!L397=TH!$W$7,M771=TH!$W$7),"x","")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IF(AND(OR(LEFT(TH!L397,2)="15",LEFT(TH!M397,2)="15"),'152-CT'!$J$8=TH!F397),"x","")</f>
        <v/>
      </c>
      <c r="Z771" s="51" t="str">
        <f>IF(AND(OR(LEFT(TH!L397,2)="15",LEFT(TH!M397,2)="15"),TK!$E$7=TH!F397),"x","")</f>
        <v/>
      </c>
      <c r="AA771" s="51" t="str">
        <f>IF(AND(B771&lt;=NKC!$N$8,B771&gt;=NKC!$M$8),"x","")</f>
        <v/>
      </c>
      <c r="AB771" s="923"/>
      <c r="AC771" s="589"/>
      <c r="AF771" s="589"/>
      <c r="AG771" s="589"/>
    </row>
    <row r="772" spans="1:33" s="210" customFormat="1" ht="15.75" hidden="1" customHeight="1">
      <c r="A772" s="203" t="str">
        <f>IF(B772&lt;&gt;"",IF(AND(B772&gt;=_TM1,B772&lt;=_TM2,OR(TH!L772="1111",TH!M772="1111")),TH!D772,""),"")</f>
        <v/>
      </c>
      <c r="B772" s="36" t="str">
        <f t="shared" si="42"/>
        <v/>
      </c>
      <c r="C772" s="183"/>
      <c r="D772" s="190"/>
      <c r="E772" s="183"/>
      <c r="F772" s="188"/>
      <c r="G772" s="481"/>
      <c r="H772" s="7"/>
      <c r="I772" s="255"/>
      <c r="J772" s="255"/>
      <c r="K772" s="37"/>
      <c r="L772" s="193"/>
      <c r="M772" s="193"/>
      <c r="N772" s="51" t="str">
        <f>IF(AND('331-CT'!$E$7=TH!H398,OR(L772="331",M772="331")),"331",IF(AND(OR(L772="131",M772="131"),H772='131-CT'!$E$7),"131",""))</f>
        <v/>
      </c>
      <c r="O772" s="891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IF(OR(TH!L398=TH!$W$7,M772=TH!$W$7),"x","")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IF(AND(OR(LEFT(TH!L398,2)="15",LEFT(TH!M398,2)="15"),'152-CT'!$J$8=TH!F398),"x","")</f>
        <v/>
      </c>
      <c r="Z772" s="51" t="str">
        <f>IF(AND(OR(LEFT(TH!L398,2)="15",LEFT(TH!M398,2)="15"),TK!$E$7=TH!F398),"x","")</f>
        <v/>
      </c>
      <c r="AA772" s="51" t="str">
        <f>IF(AND(B772&lt;=NKC!$N$8,B772&gt;=NKC!$M$8),"x","")</f>
        <v/>
      </c>
      <c r="AB772" s="923"/>
      <c r="AC772" s="589"/>
      <c r="AD772" s="589"/>
      <c r="AF772" s="589"/>
      <c r="AG772" s="589"/>
    </row>
    <row r="773" spans="1:33" s="210" customFormat="1" ht="15.75" hidden="1" customHeight="1">
      <c r="A773" s="203" t="str">
        <f>IF(B773&lt;&gt;"",IF(AND(B773&gt;=_TM1,B773&lt;=_TM2,OR(TH!L773="1111",TH!M773="1111")),TH!D773,""),"")</f>
        <v/>
      </c>
      <c r="B773" s="36" t="str">
        <f t="shared" ref="B773:B836" si="43">IF(C773&lt;&gt;"",MONTH(C773),"")</f>
        <v/>
      </c>
      <c r="C773" s="183"/>
      <c r="D773" s="190"/>
      <c r="E773" s="183"/>
      <c r="F773" s="188"/>
      <c r="G773" s="481"/>
      <c r="H773" s="7"/>
      <c r="I773" s="255"/>
      <c r="J773" s="255"/>
      <c r="K773" s="597"/>
      <c r="L773" s="193"/>
      <c r="M773" s="193"/>
      <c r="N773" s="51" t="str">
        <f>IF(AND('331-CT'!$E$7=TH!H399,OR(L773="331",M773="331")),"331",IF(AND(OR(L773="131",M773="131"),H773='131-CT'!$E$7),"131",""))</f>
        <v/>
      </c>
      <c r="O773" s="891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IF(OR(TH!L399=TH!$W$7,M773=TH!$W$7),"x","")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IF(AND(OR(LEFT(TH!L399,2)="15",LEFT(TH!M399,2)="15"),'152-CT'!$J$8=TH!F399),"x","")</f>
        <v/>
      </c>
      <c r="Z773" s="51" t="str">
        <f>IF(AND(OR(LEFT(TH!L399,2)="15",LEFT(TH!M399,2)="15"),TK!$E$7=TH!F399),"x","")</f>
        <v/>
      </c>
      <c r="AA773" s="51" t="str">
        <f>IF(AND(B773&lt;=NKC!$N$8,B773&gt;=NKC!$M$8),"x","")</f>
        <v/>
      </c>
      <c r="AB773" s="923"/>
      <c r="AC773" s="589"/>
      <c r="AD773" s="589"/>
      <c r="AF773" s="589"/>
      <c r="AG773" s="589"/>
    </row>
    <row r="774" spans="1:33" s="210" customFormat="1" ht="15.75" hidden="1" customHeight="1">
      <c r="A774" s="203" t="str">
        <f>IF(B774&lt;&gt;"",IF(AND(B774&gt;=_TM1,B774&lt;=_TM2,OR(TH!L774="1111",TH!M774="1111")),TH!D774,""),"")</f>
        <v/>
      </c>
      <c r="B774" s="36" t="str">
        <f t="shared" si="43"/>
        <v/>
      </c>
      <c r="C774" s="183"/>
      <c r="D774" s="190"/>
      <c r="E774" s="190"/>
      <c r="F774" s="188"/>
      <c r="G774" s="481"/>
      <c r="H774" s="7"/>
      <c r="I774" s="255"/>
      <c r="J774" s="255"/>
      <c r="K774" s="37"/>
      <c r="L774" s="193"/>
      <c r="M774" s="193"/>
      <c r="N774" s="51" t="str">
        <f>IF(AND('331-CT'!$E$7=TH!H828,OR(L774="331",M774="331")),"331",IF(AND(OR(L774="131",M774="131"),H774='131-CT'!$E$7),"131",""))</f>
        <v/>
      </c>
      <c r="O774" s="891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IF(OR(TH!L828=TH!$W$7,M774=TH!$W$7),"x","")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IF(AND(OR(LEFT(TH!L828,2)="15",LEFT(TH!M828,2)="15"),'152-CT'!$J$8=TH!F828),"x","")</f>
        <v/>
      </c>
      <c r="Z774" s="51" t="str">
        <f>IF(AND(OR(LEFT(TH!L828,2)="15",LEFT(TH!M828,2)="15"),TK!$E$7=TH!F828),"x","")</f>
        <v/>
      </c>
      <c r="AA774" s="51" t="str">
        <f>IF(AND(B774&lt;=NKC!$N$8,B774&gt;=NKC!$M$8),"x","")</f>
        <v/>
      </c>
      <c r="AB774" s="923"/>
      <c r="AC774" s="589"/>
      <c r="AD774" s="589"/>
    </row>
    <row r="775" spans="1:33" s="210" customFormat="1" ht="15.75" hidden="1" customHeight="1">
      <c r="A775" s="203" t="str">
        <f>IF(B775&lt;&gt;"",IF(AND(B775&gt;=_TM1,B775&lt;=_TM2,OR(TH!L775="1111",TH!M775="1111")),TH!D775,""),"")</f>
        <v/>
      </c>
      <c r="B775" s="36" t="str">
        <f t="shared" si="43"/>
        <v/>
      </c>
      <c r="C775" s="183"/>
      <c r="D775" s="190"/>
      <c r="E775" s="190"/>
      <c r="F775" s="191"/>
      <c r="G775" s="481"/>
      <c r="H775" s="7"/>
      <c r="I775" s="255"/>
      <c r="J775" s="255"/>
      <c r="K775" s="597"/>
      <c r="L775" s="193"/>
      <c r="M775" s="193"/>
      <c r="N775" s="51" t="str">
        <f>IF(AND('331-CT'!$E$7=TH!H829,OR(L775="331",M775="331")),"331",IF(AND(OR(L775="131",M775="131"),H775='131-CT'!$E$7),"131",""))</f>
        <v/>
      </c>
      <c r="O775" s="891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IF(OR(TH!L829=TH!$W$7,M775=TH!$W$7),"x","")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IF(AND(OR(LEFT(TH!L829,2)="15",LEFT(TH!M829,2)="15"),'152-CT'!$J$8=TH!F829),"x","")</f>
        <v/>
      </c>
      <c r="Z775" s="51" t="str">
        <f>IF(AND(OR(LEFT(TH!L829,2)="15",LEFT(TH!M829,2)="15"),TK!$E$7=TH!F829),"x","")</f>
        <v/>
      </c>
      <c r="AA775" s="51" t="str">
        <f>IF(AND(B775&lt;=NKC!$N$8,B775&gt;=NKC!$M$8),"x","")</f>
        <v/>
      </c>
      <c r="AB775" s="923"/>
      <c r="AC775" s="589"/>
      <c r="AD775" s="589"/>
    </row>
    <row r="776" spans="1:33" s="210" customFormat="1" ht="15.75" hidden="1" customHeight="1">
      <c r="A776" s="203" t="str">
        <f>IF(B776&lt;&gt;"",IF(AND(B776&gt;=_TM1,B776&lt;=_TM2,OR(TH!L776="1111",TH!M776="1111")),TH!D776,""),"")</f>
        <v/>
      </c>
      <c r="B776" s="36" t="str">
        <f t="shared" si="43"/>
        <v/>
      </c>
      <c r="C776" s="183"/>
      <c r="D776" s="190"/>
      <c r="E776" s="183"/>
      <c r="F776" s="188"/>
      <c r="G776" s="481"/>
      <c r="H776" s="7"/>
      <c r="I776" s="255"/>
      <c r="J776" s="255"/>
      <c r="K776" s="37"/>
      <c r="L776" s="193"/>
      <c r="M776" s="193"/>
      <c r="N776" s="51" t="str">
        <f>IF(AND('331-CT'!$E$7=TH!H400,OR(L776="331",M776="331")),"331",IF(AND(OR(L776="131",M776="131"),H776='131-CT'!$E$7),"131",""))</f>
        <v/>
      </c>
      <c r="O776" s="891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IF(OR(TH!L400=TH!$W$7,M776=TH!$W$7),"x","")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IF(AND(OR(LEFT(TH!L400,2)="15",LEFT(TH!M400,2)="15"),'152-CT'!$J$8=TH!F400),"x","")</f>
        <v/>
      </c>
      <c r="Z776" s="51" t="str">
        <f>IF(AND(OR(LEFT(TH!L400,2)="15",LEFT(TH!M400,2)="15"),TK!$E$7=TH!F400),"x","")</f>
        <v/>
      </c>
      <c r="AA776" s="51" t="str">
        <f>IF(AND(B776&lt;=NKC!$N$8,B776&gt;=NKC!$M$8),"x","")</f>
        <v/>
      </c>
      <c r="AB776" s="923"/>
      <c r="AC776" s="589"/>
      <c r="AF776" s="589"/>
      <c r="AG776" s="589"/>
    </row>
    <row r="777" spans="1:33" s="210" customFormat="1" ht="15.75" hidden="1" customHeight="1">
      <c r="A777" s="203" t="str">
        <f>IF(B777&lt;&gt;"",IF(AND(B777&gt;=_TM1,B777&lt;=_TM2,OR(TH!L777="1111",TH!M777="1111")),TH!D777,""),"")</f>
        <v/>
      </c>
      <c r="B777" s="36" t="str">
        <f t="shared" si="43"/>
        <v/>
      </c>
      <c r="C777" s="183"/>
      <c r="D777" s="190"/>
      <c r="E777" s="183"/>
      <c r="F777" s="188"/>
      <c r="G777" s="481"/>
      <c r="H777" s="7"/>
      <c r="I777" s="255"/>
      <c r="J777" s="255"/>
      <c r="K777" s="597"/>
      <c r="L777" s="193"/>
      <c r="M777" s="193"/>
      <c r="N777" s="51" t="str">
        <f>IF(AND('331-CT'!$E$7=TH!H401,OR(L777="331",M777="331")),"331",IF(AND(OR(L777="131",M777="131"),H777='131-CT'!$E$7),"131",""))</f>
        <v/>
      </c>
      <c r="O777" s="891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IF(OR(TH!L401=TH!$W$7,M777=TH!$W$7),"x","")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IF(AND(OR(LEFT(TH!L401,2)="15",LEFT(TH!M401,2)="15"),'152-CT'!$J$8=TH!F401),"x","")</f>
        <v/>
      </c>
      <c r="Z777" s="51" t="str">
        <f>IF(AND(OR(LEFT(TH!L401,2)="15",LEFT(TH!M401,2)="15"),TK!$E$7=TH!F401),"x","")</f>
        <v/>
      </c>
      <c r="AA777" s="51" t="str">
        <f>IF(AND(B777&lt;=NKC!$N$8,B777&gt;=NKC!$M$8),"x","")</f>
        <v/>
      </c>
      <c r="AB777" s="923"/>
      <c r="AC777" s="589"/>
      <c r="AD777" s="589"/>
      <c r="AF777" s="589"/>
      <c r="AG777" s="589"/>
    </row>
    <row r="778" spans="1:33" s="210" customFormat="1" ht="15.75" hidden="1" customHeight="1">
      <c r="A778" s="203" t="str">
        <f>IF(B778&lt;&gt;"",IF(AND(B778&gt;=_TM1,B778&lt;=_TM2,OR(TH!L778="1111",TH!M778="1111")),TH!D778,""),"")</f>
        <v/>
      </c>
      <c r="B778" s="36" t="str">
        <f t="shared" si="43"/>
        <v/>
      </c>
      <c r="C778" s="183"/>
      <c r="D778" s="190"/>
      <c r="E778" s="183"/>
      <c r="F778" s="188"/>
      <c r="G778" s="481"/>
      <c r="H778" s="7"/>
      <c r="I778" s="255"/>
      <c r="J778" s="255"/>
      <c r="K778" s="37"/>
      <c r="L778" s="193"/>
      <c r="M778" s="193"/>
      <c r="N778" s="51" t="str">
        <f>IF(AND('331-CT'!$E$7=TH!H402,OR(L778="331",M778="331")),"331",IF(AND(OR(L778="131",M778="131"),H778='131-CT'!$E$7),"131",""))</f>
        <v/>
      </c>
      <c r="O778" s="891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IF(OR(TH!L402=TH!$W$7,M778=TH!$W$7),"x","")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IF(AND(OR(LEFT(TH!L402,2)="15",LEFT(TH!M402,2)="15"),'152-CT'!$J$8=TH!F402),"x","")</f>
        <v/>
      </c>
      <c r="Z778" s="51" t="str">
        <f>IF(AND(OR(LEFT(TH!L402,2)="15",LEFT(TH!M402,2)="15"),TK!$E$7=TH!F402),"x","")</f>
        <v/>
      </c>
      <c r="AA778" s="51" t="str">
        <f>IF(AND(B778&lt;=NKC!$N$8,B778&gt;=NKC!$M$8),"x","")</f>
        <v/>
      </c>
      <c r="AB778" s="923"/>
      <c r="AC778" s="589"/>
      <c r="AD778" s="589"/>
      <c r="AF778" s="589"/>
      <c r="AG778" s="589"/>
    </row>
    <row r="779" spans="1:33" s="210" customFormat="1" ht="15.75" hidden="1" customHeight="1">
      <c r="A779" s="203" t="str">
        <f>IF(B779&lt;&gt;"",IF(AND(B779&gt;=_TM1,B779&lt;=_TM2,OR(TH!L779="1111",TH!M779="1111")),TH!D779,""),"")</f>
        <v/>
      </c>
      <c r="B779" s="36" t="str">
        <f t="shared" si="43"/>
        <v/>
      </c>
      <c r="C779" s="183"/>
      <c r="D779" s="190"/>
      <c r="E779" s="183"/>
      <c r="F779" s="188"/>
      <c r="G779" s="481"/>
      <c r="H779" s="7"/>
      <c r="I779" s="255"/>
      <c r="J779" s="255"/>
      <c r="K779" s="597"/>
      <c r="L779" s="193"/>
      <c r="M779" s="193"/>
      <c r="N779" s="51" t="str">
        <f>IF(AND('331-CT'!$E$7=TH!H403,OR(L779="331",M779="331")),"331",IF(AND(OR(L779="131",M779="131"),H779='131-CT'!$E$7),"131",""))</f>
        <v/>
      </c>
      <c r="O779" s="891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IF(OR(TH!L403=TH!$W$7,M779=TH!$W$7),"x","")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IF(AND(OR(LEFT(TH!L403,2)="15",LEFT(TH!M403,2)="15"),'152-CT'!$J$8=TH!F403),"x","")</f>
        <v/>
      </c>
      <c r="Z779" s="51" t="str">
        <f>IF(AND(OR(LEFT(TH!L403,2)="15",LEFT(TH!M403,2)="15"),TK!$E$7=TH!F403),"x","")</f>
        <v/>
      </c>
      <c r="AA779" s="51" t="str">
        <f>IF(AND(B779&lt;=NKC!$N$8,B779&gt;=NKC!$M$8),"x","")</f>
        <v/>
      </c>
      <c r="AB779" s="923"/>
      <c r="AC779" s="589"/>
      <c r="AF779" s="589"/>
      <c r="AG779" s="589"/>
    </row>
    <row r="780" spans="1:33" s="210" customFormat="1" ht="15.75" hidden="1" customHeight="1">
      <c r="A780" s="203" t="str">
        <f>IF(B780&lt;&gt;"",IF(AND(B780&gt;=_TM1,B780&lt;=_TM2,OR(TH!L780="1111",TH!M780="1111")),TH!D780,""),"")</f>
        <v/>
      </c>
      <c r="B780" s="36" t="str">
        <f t="shared" si="43"/>
        <v/>
      </c>
      <c r="C780" s="183"/>
      <c r="D780" s="190"/>
      <c r="E780" s="190"/>
      <c r="F780" s="191"/>
      <c r="G780" s="481"/>
      <c r="H780" s="7"/>
      <c r="I780" s="255"/>
      <c r="J780" s="255"/>
      <c r="K780" s="37"/>
      <c r="L780" s="193"/>
      <c r="M780" s="193"/>
      <c r="N780" s="51" t="str">
        <f>IF(AND('331-CT'!$E$7=TH!H830,OR(L780="331",M780="331")),"331",IF(AND(OR(L780="131",M780="131"),H780='131-CT'!$E$7),"131",""))</f>
        <v/>
      </c>
      <c r="O780" s="891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IF(OR(TH!L830=TH!$W$7,M780=TH!$W$7),"x","")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IF(AND(OR(LEFT(TH!L830,2)="15",LEFT(TH!M830,2)="15"),'152-CT'!$J$8=TH!F830),"x","")</f>
        <v/>
      </c>
      <c r="Z780" s="51" t="str">
        <f>IF(AND(OR(LEFT(TH!L830,2)="15",LEFT(TH!M830,2)="15"),TK!$E$7=TH!F830),"x","")</f>
        <v/>
      </c>
      <c r="AA780" s="51" t="str">
        <f>IF(AND(B780&lt;=NKC!$N$8,B780&gt;=NKC!$M$8),"x","")</f>
        <v/>
      </c>
      <c r="AB780" s="923"/>
      <c r="AC780" s="589"/>
      <c r="AD780" s="589"/>
    </row>
    <row r="781" spans="1:33" s="210" customFormat="1" ht="15.75" hidden="1" customHeight="1">
      <c r="A781" s="203" t="str">
        <f>IF(B781&lt;&gt;"",IF(AND(B781&gt;=_TM1,B781&lt;=_TM2,OR(TH!L781="1111",TH!M781="1111")),TH!D781,""),"")</f>
        <v/>
      </c>
      <c r="B781" s="36" t="str">
        <f t="shared" si="43"/>
        <v/>
      </c>
      <c r="C781" s="183"/>
      <c r="D781" s="190"/>
      <c r="E781" s="190"/>
      <c r="F781" s="188"/>
      <c r="G781" s="481"/>
      <c r="H781" s="7"/>
      <c r="I781" s="255"/>
      <c r="J781" s="255"/>
      <c r="K781" s="37"/>
      <c r="L781" s="193"/>
      <c r="M781" s="193"/>
      <c r="N781" s="51" t="str">
        <f>IF(AND('331-CT'!$E$7=TH!H831,OR(L781="331",M781="331")),"331",IF(AND(OR(L781="131",M781="131"),H781='131-CT'!$E$7),"131",""))</f>
        <v/>
      </c>
      <c r="O781" s="891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IF(OR(TH!L831=TH!$W$7,M781=TH!$W$7),"x","")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IF(AND(OR(LEFT(TH!L831,2)="15",LEFT(TH!M831,2)="15"),'152-CT'!$J$8=TH!F831),"x","")</f>
        <v/>
      </c>
      <c r="Z781" s="51" t="str">
        <f>IF(AND(OR(LEFT(TH!L831,2)="15",LEFT(TH!M831,2)="15"),TK!$E$7=TH!F831),"x","")</f>
        <v/>
      </c>
      <c r="AA781" s="51" t="str">
        <f>IF(AND(B781&lt;=NKC!$N$8,B781&gt;=NKC!$M$8),"x","")</f>
        <v/>
      </c>
      <c r="AB781" s="923"/>
      <c r="AC781" s="589"/>
      <c r="AD781" s="589"/>
    </row>
    <row r="782" spans="1:33" s="210" customFormat="1" ht="15.75" hidden="1" customHeight="1">
      <c r="A782" s="203" t="str">
        <f>IF(B782&lt;&gt;"",IF(AND(B782&gt;=_TM1,B782&lt;=_TM2,OR(TH!L782="1111",TH!M782="1111")),TH!D782,""),"")</f>
        <v/>
      </c>
      <c r="B782" s="36" t="str">
        <f t="shared" si="43"/>
        <v/>
      </c>
      <c r="C782" s="183"/>
      <c r="D782" s="190"/>
      <c r="E782" s="190"/>
      <c r="F782" s="188"/>
      <c r="G782" s="481"/>
      <c r="H782" s="7"/>
      <c r="I782" s="255"/>
      <c r="J782" s="255"/>
      <c r="K782" s="37"/>
      <c r="L782" s="193"/>
      <c r="M782" s="193"/>
      <c r="N782" s="51" t="str">
        <f>IF(AND('331-CT'!$E$7=TH!H832,OR(L782="331",M782="331")),"331",IF(AND(OR(L782="131",M782="131"),H782='131-CT'!$E$7),"131",""))</f>
        <v/>
      </c>
      <c r="O782" s="891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IF(OR(TH!L832=TH!$W$7,M782=TH!$W$7),"x","")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IF(AND(OR(LEFT(TH!L832,2)="15",LEFT(TH!M832,2)="15"),'152-CT'!$J$8=TH!F832),"x","")</f>
        <v/>
      </c>
      <c r="Z782" s="51" t="str">
        <f>IF(AND(OR(LEFT(TH!L832,2)="15",LEFT(TH!M832,2)="15"),TK!$E$7=TH!F832),"x","")</f>
        <v/>
      </c>
      <c r="AA782" s="51" t="str">
        <f>IF(AND(B782&lt;=NKC!$N$8,B782&gt;=NKC!$M$8),"x","")</f>
        <v/>
      </c>
      <c r="AB782" s="923"/>
      <c r="AC782" s="589"/>
    </row>
    <row r="783" spans="1:33" s="210" customFormat="1" ht="15.75" hidden="1" customHeight="1">
      <c r="A783" s="203" t="str">
        <f>IF(B783&lt;&gt;"",IF(AND(B783&gt;=_TM1,B783&lt;=_TM2,OR(TH!L783="1111",TH!M783="1111")),TH!D783,""),"")</f>
        <v/>
      </c>
      <c r="B783" s="36" t="str">
        <f t="shared" si="43"/>
        <v/>
      </c>
      <c r="C783" s="183"/>
      <c r="D783" s="190"/>
      <c r="E783" s="190"/>
      <c r="F783" s="188"/>
      <c r="G783" s="481"/>
      <c r="H783" s="7"/>
      <c r="I783" s="255"/>
      <c r="J783" s="255"/>
      <c r="K783" s="597"/>
      <c r="L783" s="193"/>
      <c r="M783" s="193"/>
      <c r="N783" s="51" t="str">
        <f>IF(AND('331-CT'!$E$7=TH!H833,OR(L783="331",M783="331")),"331",IF(AND(OR(L783="131",M783="131"),H783='131-CT'!$E$7),"131",""))</f>
        <v/>
      </c>
      <c r="O783" s="891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IF(OR(TH!L833=TH!$W$7,M783=TH!$W$7),"x","")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IF(AND(OR(LEFT(TH!L833,2)="15",LEFT(TH!M833,2)="15"),'152-CT'!$J$8=TH!F833),"x","")</f>
        <v/>
      </c>
      <c r="Z783" s="51" t="str">
        <f>IF(AND(OR(LEFT(TH!L833,2)="15",LEFT(TH!M833,2)="15"),TK!$E$7=TH!F833),"x","")</f>
        <v/>
      </c>
      <c r="AA783" s="51" t="str">
        <f>IF(AND(B783&lt;=NKC!$N$8,B783&gt;=NKC!$M$8),"x","")</f>
        <v/>
      </c>
      <c r="AB783" s="923"/>
      <c r="AC783" s="589"/>
      <c r="AD783" s="589"/>
    </row>
    <row r="784" spans="1:33" s="210" customFormat="1" ht="15.75" hidden="1" customHeight="1">
      <c r="A784" s="203" t="str">
        <f>IF(B784&lt;&gt;"",IF(AND(B784&gt;=_TM1,B784&lt;=_TM2,OR(TH!L784="1111",TH!M784="1111")),TH!D784,""),"")</f>
        <v/>
      </c>
      <c r="B784" s="36" t="str">
        <f t="shared" si="43"/>
        <v/>
      </c>
      <c r="C784" s="183"/>
      <c r="D784" s="190"/>
      <c r="E784" s="190"/>
      <c r="F784" s="296"/>
      <c r="G784" s="481"/>
      <c r="H784" s="7"/>
      <c r="I784" s="256"/>
      <c r="J784" s="256"/>
      <c r="K784" s="37"/>
      <c r="L784" s="193"/>
      <c r="M784" s="193"/>
      <c r="N784" s="51" t="str">
        <f>IF(AND('331-CT'!$E$7=TH!H834,OR(L784="331",M784="331")),"331",IF(AND(OR(L784="131",M784="131"),H784='131-CT'!$E$7),"131",""))</f>
        <v/>
      </c>
      <c r="O784" s="891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IF(OR(TH!L834=TH!$W$7,M784=TH!$W$7),"x","")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IF(AND(OR(LEFT(TH!L834,2)="15",LEFT(TH!M834,2)="15"),'152-CT'!$J$8=TH!F834),"x","")</f>
        <v/>
      </c>
      <c r="Z784" s="51" t="str">
        <f>IF(AND(OR(LEFT(TH!L834,2)="15",LEFT(TH!M834,2)="15"),TK!$E$7=TH!F834),"x","")</f>
        <v/>
      </c>
      <c r="AA784" s="51" t="str">
        <f>IF(AND(B784&lt;=NKC!$N$8,B784&gt;=NKC!$M$8),"x","")</f>
        <v/>
      </c>
      <c r="AB784" s="923"/>
      <c r="AC784" s="589"/>
      <c r="AD784" s="589"/>
    </row>
    <row r="785" spans="1:30" s="210" customFormat="1" ht="15.75" hidden="1" customHeight="1">
      <c r="A785" s="203" t="str">
        <f>IF(B785&lt;&gt;"",IF(AND(B785&gt;=_TM1,B785&lt;=_TM2,OR(TH!L785="1111",TH!M785="1111")),TH!D785,""),"")</f>
        <v/>
      </c>
      <c r="B785" s="36" t="str">
        <f t="shared" si="43"/>
        <v/>
      </c>
      <c r="C785" s="183"/>
      <c r="D785" s="190"/>
      <c r="E785" s="190"/>
      <c r="F785" s="191"/>
      <c r="G785" s="481"/>
      <c r="H785" s="7"/>
      <c r="I785" s="255"/>
      <c r="J785" s="255"/>
      <c r="K785" s="37"/>
      <c r="L785" s="193"/>
      <c r="M785" s="193"/>
      <c r="N785" s="51" t="str">
        <f>IF(AND('331-CT'!$E$7=TH!H835,OR(L785="331",M785="331")),"331",IF(AND(OR(L785="131",M785="131"),H785='131-CT'!$E$7),"131",""))</f>
        <v/>
      </c>
      <c r="O785" s="891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IF(OR(TH!L835=TH!$W$7,M785=TH!$W$7),"x","")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IF(AND(OR(LEFT(TH!L835,2)="15",LEFT(TH!M835,2)="15"),'152-CT'!$J$8=TH!F835),"x","")</f>
        <v/>
      </c>
      <c r="Z785" s="51" t="str">
        <f>IF(AND(OR(LEFT(TH!L835,2)="15",LEFT(TH!M835,2)="15"),TK!$E$7=TH!F835),"x","")</f>
        <v/>
      </c>
      <c r="AA785" s="51" t="str">
        <f>IF(AND(B785&lt;=NKC!$N$8,B785&gt;=NKC!$M$8),"x","")</f>
        <v/>
      </c>
      <c r="AB785" s="923"/>
      <c r="AC785" s="589"/>
      <c r="AD785" s="589"/>
    </row>
    <row r="786" spans="1:30" s="210" customFormat="1" ht="15.75" hidden="1" customHeight="1">
      <c r="A786" s="203" t="str">
        <f>IF(B786&lt;&gt;"",IF(AND(B786&gt;=_TM1,B786&lt;=_TM2,OR(TH!L786="1111",TH!M786="1111")),TH!D786,""),"")</f>
        <v/>
      </c>
      <c r="B786" s="36" t="str">
        <f t="shared" si="43"/>
        <v/>
      </c>
      <c r="C786" s="183"/>
      <c r="D786" s="190"/>
      <c r="E786" s="183"/>
      <c r="F786" s="188"/>
      <c r="G786" s="599"/>
      <c r="H786" s="7"/>
      <c r="I786" s="255"/>
      <c r="J786" s="255"/>
      <c r="K786" s="37"/>
      <c r="L786" s="193"/>
      <c r="M786" s="193"/>
      <c r="N786" s="51" t="str">
        <f>IF(AND('331-CT'!$E$7=TH!H836,OR(L786="331",M786="331")),"331",IF(AND(OR(L786="131",M786="131"),H786='131-CT'!$E$7),"131",""))</f>
        <v/>
      </c>
      <c r="O786" s="891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IF(OR(TH!L836=TH!$W$7,M786=TH!$W$7),"x","")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IF(AND(OR(LEFT(TH!L836,2)="15",LEFT(TH!M836,2)="15"),'152-CT'!$J$8=TH!F836),"x","")</f>
        <v/>
      </c>
      <c r="Z786" s="51" t="str">
        <f>IF(AND(OR(LEFT(TH!L836,2)="15",LEFT(TH!M836,2)="15"),TK!$E$7=TH!F836),"x","")</f>
        <v/>
      </c>
      <c r="AA786" s="51" t="str">
        <f>IF(AND(B786&lt;=NKC!$N$8,B786&gt;=NKC!$M$8),"x","")</f>
        <v/>
      </c>
      <c r="AB786" s="923"/>
      <c r="AC786" s="589"/>
      <c r="AD786" s="589"/>
    </row>
    <row r="787" spans="1:30" s="210" customFormat="1" ht="15.75" hidden="1" customHeight="1">
      <c r="A787" s="203" t="str">
        <f>IF(B787&lt;&gt;"",IF(AND(B787&gt;=_TM1,B787&lt;=_TM2,OR(TH!L787="1111",TH!M787="1111")),TH!D787,""),"")</f>
        <v/>
      </c>
      <c r="B787" s="36" t="str">
        <f t="shared" si="43"/>
        <v/>
      </c>
      <c r="C787" s="183"/>
      <c r="D787" s="190"/>
      <c r="E787" s="190"/>
      <c r="F787" s="191"/>
      <c r="G787" s="481"/>
      <c r="H787" s="7"/>
      <c r="I787" s="256"/>
      <c r="J787" s="256"/>
      <c r="K787" s="37"/>
      <c r="L787" s="193"/>
      <c r="M787" s="193"/>
      <c r="N787" s="51" t="str">
        <f>IF(AND('331-CT'!$E$7=TH!H837,OR(L787="331",M787="331")),"331",IF(AND(OR(L787="131",M787="131"),H787='131-CT'!$E$7),"131",""))</f>
        <v/>
      </c>
      <c r="O787" s="891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IF(OR(TH!L837=TH!$W$7,M787=TH!$W$7),"x","")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IF(AND(OR(LEFT(TH!L837,2)="15",LEFT(TH!M837,2)="15"),'152-CT'!$J$8=TH!F837),"x","")</f>
        <v/>
      </c>
      <c r="Z787" s="51" t="str">
        <f>IF(AND(OR(LEFT(TH!L837,2)="15",LEFT(TH!M837,2)="15"),TK!$E$7=TH!F837),"x","")</f>
        <v/>
      </c>
      <c r="AA787" s="51" t="str">
        <f>IF(AND(B787&lt;=NKC!$N$8,B787&gt;=NKC!$M$8),"x","")</f>
        <v/>
      </c>
      <c r="AB787" s="923"/>
      <c r="AC787" s="589"/>
      <c r="AD787" s="589"/>
    </row>
    <row r="788" spans="1:30" s="210" customFormat="1" ht="15.75" hidden="1" customHeight="1">
      <c r="A788" s="203" t="str">
        <f>IF(B788&lt;&gt;"",IF(AND(B788&gt;=_TM1,B788&lt;=_TM2,OR(TH!L788="1111",TH!M788="1111")),TH!D788,""),"")</f>
        <v/>
      </c>
      <c r="B788" s="36" t="str">
        <f t="shared" si="43"/>
        <v/>
      </c>
      <c r="C788" s="183"/>
      <c r="D788" s="190"/>
      <c r="E788" s="183"/>
      <c r="F788" s="188"/>
      <c r="G788" s="599"/>
      <c r="H788" s="901"/>
      <c r="I788" s="255"/>
      <c r="J788" s="255"/>
      <c r="K788" s="37"/>
      <c r="L788" s="193"/>
      <c r="M788" s="193"/>
      <c r="N788" s="51" t="str">
        <f>IF(AND('331-CT'!$E$7=TH!H838,OR(L788="331",M788="331")),"331",IF(AND(OR(L788="131",M788="131"),H788='131-CT'!$E$7),"131",""))</f>
        <v/>
      </c>
      <c r="O788" s="891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IF(OR(TH!L838=TH!$W$7,M788=TH!$W$7),"x","")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IF(AND(OR(LEFT(TH!L838,2)="15",LEFT(TH!M838,2)="15"),'152-CT'!$J$8=TH!F838),"x","")</f>
        <v/>
      </c>
      <c r="Z788" s="51" t="str">
        <f>IF(AND(OR(LEFT(TH!L838,2)="15",LEFT(TH!M838,2)="15"),TK!$E$7=TH!F838),"x","")</f>
        <v/>
      </c>
      <c r="AA788" s="51" t="str">
        <f>IF(AND(B788&lt;=NKC!$N$8,B788&gt;=NKC!$M$8),"x","")</f>
        <v/>
      </c>
      <c r="AB788" s="923"/>
      <c r="AC788" s="589"/>
      <c r="AD788" s="589"/>
    </row>
    <row r="789" spans="1:30" s="210" customFormat="1" ht="15.75" hidden="1" customHeight="1">
      <c r="A789" s="203" t="str">
        <f>IF(B789&lt;&gt;"",IF(AND(B789&gt;=_TM1,B789&lt;=_TM2,OR(TH!L789="1111",TH!M789="1111")),TH!D789,""),"")</f>
        <v/>
      </c>
      <c r="B789" s="36" t="str">
        <f t="shared" si="43"/>
        <v/>
      </c>
      <c r="C789" s="183"/>
      <c r="D789" s="190"/>
      <c r="E789" s="183"/>
      <c r="F789" s="191"/>
      <c r="G789" s="599"/>
      <c r="H789" s="901"/>
      <c r="I789" s="255"/>
      <c r="J789" s="255"/>
      <c r="K789" s="37"/>
      <c r="L789" s="193"/>
      <c r="M789" s="193"/>
      <c r="N789" s="51" t="str">
        <f>IF(AND('331-CT'!$E$7=TH!H839,OR(L789="331",M789="331")),"331",IF(AND(OR(L789="131",M789="131"),H789='131-CT'!$E$7),"131",""))</f>
        <v/>
      </c>
      <c r="O789" s="891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IF(OR(TH!L839=TH!$W$7,M789=TH!$W$7),"x","")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IF(AND(OR(LEFT(TH!L839,2)="15",LEFT(TH!M839,2)="15"),'152-CT'!$J$8=TH!F839),"x","")</f>
        <v/>
      </c>
      <c r="Z789" s="51" t="str">
        <f>IF(AND(OR(LEFT(TH!L839,2)="15",LEFT(TH!M839,2)="15"),TK!$E$7=TH!F839),"x","")</f>
        <v/>
      </c>
      <c r="AA789" s="51" t="str">
        <f>IF(AND(B789&lt;=NKC!$N$8,B789&gt;=NKC!$M$8),"x","")</f>
        <v/>
      </c>
      <c r="AB789" s="923"/>
      <c r="AC789" s="589"/>
    </row>
    <row r="790" spans="1:30" s="210" customFormat="1" ht="15.75" hidden="1" customHeight="1">
      <c r="A790" s="203" t="str">
        <f>IF(B790&lt;&gt;"",IF(AND(B790&gt;=_TM1,B790&lt;=_TM2,OR(TH!L790="1111",TH!M790="1111")),TH!D790,""),"")</f>
        <v/>
      </c>
      <c r="B790" s="36" t="str">
        <f t="shared" si="43"/>
        <v/>
      </c>
      <c r="C790" s="183"/>
      <c r="D790" s="190"/>
      <c r="E790" s="190"/>
      <c r="F790" s="191"/>
      <c r="G790" s="481"/>
      <c r="H790" s="901"/>
      <c r="I790" s="255"/>
      <c r="J790" s="255"/>
      <c r="K790" s="597"/>
      <c r="L790" s="193"/>
      <c r="M790" s="193"/>
      <c r="N790" s="51" t="str">
        <f>IF(AND('331-CT'!$E$7=TH!H840,OR(L790="331",M790="331")),"331",IF(AND(OR(L790="131",M790="131"),H790='131-CT'!$E$7),"131",""))</f>
        <v/>
      </c>
      <c r="O790" s="891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IF(OR(TH!L840=TH!$W$7,M790=TH!$W$7),"x","")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IF(AND(OR(LEFT(TH!L840,2)="15",LEFT(TH!M840,2)="15"),'152-CT'!$J$8=TH!F840),"x","")</f>
        <v/>
      </c>
      <c r="Z790" s="51" t="str">
        <f>IF(AND(OR(LEFT(TH!L840,2)="15",LEFT(TH!M840,2)="15"),TK!$E$7=TH!F840),"x","")</f>
        <v/>
      </c>
      <c r="AA790" s="51" t="str">
        <f>IF(AND(B790&lt;=NKC!$N$8,B790&gt;=NKC!$M$8),"x","")</f>
        <v/>
      </c>
      <c r="AB790" s="923"/>
      <c r="AC790" s="589"/>
      <c r="AD790" s="589"/>
    </row>
    <row r="791" spans="1:30" s="210" customFormat="1" ht="15.75" hidden="1" customHeight="1">
      <c r="A791" s="203" t="str">
        <f>IF(B791&lt;&gt;"",IF(AND(B791&gt;=_TM1,B791&lt;=_TM2,OR(TH!L791="1111",TH!M791="1111")),TH!D791,""),"")</f>
        <v/>
      </c>
      <c r="B791" s="36" t="str">
        <f t="shared" si="43"/>
        <v/>
      </c>
      <c r="C791" s="183"/>
      <c r="D791" s="190"/>
      <c r="E791" s="190"/>
      <c r="F791" s="191"/>
      <c r="G791" s="481"/>
      <c r="H791" s="192"/>
      <c r="I791" s="255"/>
      <c r="J791" s="255"/>
      <c r="K791" s="37"/>
      <c r="L791" s="193"/>
      <c r="M791" s="193"/>
      <c r="N791" s="51" t="str">
        <f>IF(AND('331-CT'!$E$7=TH!H841,OR(L791="331",M791="331")),"331",IF(AND(OR(L791="131",M791="131"),H791='131-CT'!$E$7),"131",""))</f>
        <v/>
      </c>
      <c r="O791" s="891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IF(OR(TH!L841=TH!$W$7,M791=TH!$W$7),"x","")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IF(AND(OR(LEFT(TH!L841,2)="15",LEFT(TH!M841,2)="15"),'152-CT'!$J$8=TH!F841),"x","")</f>
        <v/>
      </c>
      <c r="Z791" s="51" t="str">
        <f>IF(AND(OR(LEFT(TH!L841,2)="15",LEFT(TH!M841,2)="15"),TK!$E$7=TH!F841),"x","")</f>
        <v/>
      </c>
      <c r="AA791" s="51" t="str">
        <f>IF(AND(B791&lt;=NKC!$N$8,B791&gt;=NKC!$M$8),"x","")</f>
        <v/>
      </c>
      <c r="AB791" s="923"/>
      <c r="AC791" s="589"/>
      <c r="AD791" s="589"/>
    </row>
    <row r="792" spans="1:30" s="210" customFormat="1" ht="15.75" hidden="1" customHeight="1">
      <c r="A792" s="203" t="str">
        <f>IF(B792&lt;&gt;"",IF(AND(B792&gt;=_TM1,B792&lt;=_TM2,OR(TH!L792="1111",TH!M792="1111")),TH!D792,""),"")</f>
        <v/>
      </c>
      <c r="B792" s="36" t="str">
        <f t="shared" si="43"/>
        <v/>
      </c>
      <c r="C792" s="183"/>
      <c r="D792" s="190"/>
      <c r="E792" s="190"/>
      <c r="F792" s="191"/>
      <c r="G792" s="481"/>
      <c r="H792" s="192"/>
      <c r="I792" s="255"/>
      <c r="J792" s="255"/>
      <c r="K792" s="37"/>
      <c r="L792" s="193"/>
      <c r="M792" s="193"/>
      <c r="N792" s="51" t="str">
        <f>IF(AND('331-CT'!$E$7=TH!H842,OR(L792="331",M792="331")),"331",IF(AND(OR(L792="131",M792="131"),H792='131-CT'!$E$7),"131",""))</f>
        <v/>
      </c>
      <c r="O792" s="891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IF(OR(TH!L842=TH!$W$7,M792=TH!$W$7),"x","")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IF(AND(OR(LEFT(TH!L842,2)="15",LEFT(TH!M842,2)="15"),'152-CT'!$J$8=TH!F842),"x","")</f>
        <v/>
      </c>
      <c r="Z792" s="51" t="str">
        <f>IF(AND(OR(LEFT(TH!L842,2)="15",LEFT(TH!M842,2)="15"),TK!$E$7=TH!F842),"x","")</f>
        <v/>
      </c>
      <c r="AA792" s="51" t="str">
        <f>IF(AND(B792&lt;=NKC!$N$8,B792&gt;=NKC!$M$8),"x","")</f>
        <v/>
      </c>
      <c r="AB792" s="923"/>
      <c r="AC792" s="589"/>
      <c r="AD792" s="589"/>
    </row>
    <row r="793" spans="1:30" s="210" customFormat="1" ht="15.75" hidden="1" customHeight="1">
      <c r="A793" s="203" t="str">
        <f>IF(B793&lt;&gt;"",IF(AND(B793&gt;=_TM1,B793&lt;=_TM2,OR(TH!L793="1111",TH!M793="1111")),TH!D793,""),"")</f>
        <v/>
      </c>
      <c r="B793" s="36" t="str">
        <f t="shared" si="43"/>
        <v/>
      </c>
      <c r="C793" s="183"/>
      <c r="D793" s="190"/>
      <c r="E793" s="190"/>
      <c r="F793" s="191"/>
      <c r="G793" s="481"/>
      <c r="H793" s="192"/>
      <c r="I793" s="255"/>
      <c r="J793" s="255"/>
      <c r="K793" s="37"/>
      <c r="L793" s="193"/>
      <c r="M793" s="193"/>
      <c r="N793" s="51" t="str">
        <f>IF(AND('331-CT'!$E$7=TH!H843,OR(L793="331",M793="331")),"331",IF(AND(OR(L793="131",M793="131"),H793='131-CT'!$E$7),"131",""))</f>
        <v/>
      </c>
      <c r="O793" s="891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IF(OR(TH!L843=TH!$W$7,M793=TH!$W$7),"x","")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IF(AND(OR(LEFT(TH!L843,2)="15",LEFT(TH!M843,2)="15"),'152-CT'!$J$8=TH!F843),"x","")</f>
        <v/>
      </c>
      <c r="Z793" s="51" t="str">
        <f>IF(AND(OR(LEFT(TH!L843,2)="15",LEFT(TH!M843,2)="15"),TK!$E$7=TH!F843),"x","")</f>
        <v/>
      </c>
      <c r="AA793" s="51" t="str">
        <f>IF(AND(B793&lt;=NKC!$N$8,B793&gt;=NKC!$M$8),"x","")</f>
        <v/>
      </c>
      <c r="AB793" s="923"/>
      <c r="AC793" s="589"/>
      <c r="AD793" s="589"/>
    </row>
    <row r="794" spans="1:30" s="210" customFormat="1" ht="15.75" hidden="1" customHeight="1">
      <c r="A794" s="203" t="str">
        <f>IF(B794&lt;&gt;"",IF(AND(B794&gt;=_TM1,B794&lt;=_TM2,OR(TH!L794="1111",TH!M794="1111")),TH!D794,""),"")</f>
        <v/>
      </c>
      <c r="B794" s="36" t="str">
        <f t="shared" si="43"/>
        <v/>
      </c>
      <c r="C794" s="183"/>
      <c r="D794" s="190"/>
      <c r="E794" s="190"/>
      <c r="F794" s="188"/>
      <c r="G794" s="481"/>
      <c r="H794" s="7"/>
      <c r="I794" s="255"/>
      <c r="J794" s="255"/>
      <c r="K794" s="37"/>
      <c r="L794" s="193"/>
      <c r="M794" s="193"/>
      <c r="N794" s="51" t="str">
        <f>IF(AND('331-CT'!$E$7=TH!H844,OR(L794="331",M794="331")),"331",IF(AND(OR(L794="131",M794="131"),H794='131-CT'!$E$7),"131",""))</f>
        <v/>
      </c>
      <c r="O794" s="891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IF(OR(TH!L844=TH!$W$7,M794=TH!$W$7),"x","")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IF(AND(OR(LEFT(TH!L844,2)="15",LEFT(TH!M844,2)="15"),'152-CT'!$J$8=TH!F844),"x","")</f>
        <v/>
      </c>
      <c r="Z794" s="51" t="str">
        <f>IF(AND(OR(LEFT(TH!L844,2)="15",LEFT(TH!M844,2)="15"),TK!$E$7=TH!F844),"x","")</f>
        <v/>
      </c>
      <c r="AA794" s="51" t="str">
        <f>IF(AND(B794&lt;=NKC!$N$8,B794&gt;=NKC!$M$8),"x","")</f>
        <v/>
      </c>
      <c r="AB794" s="923"/>
      <c r="AC794" s="589"/>
      <c r="AD794" s="589"/>
    </row>
    <row r="795" spans="1:30" s="210" customFormat="1" ht="15.75" hidden="1" customHeight="1">
      <c r="A795" s="203" t="str">
        <f>IF(B795&lt;&gt;"",IF(AND(B795&gt;=_TM1,B795&lt;=_TM2,OR(TH!L795="1111",TH!M795="1111")),TH!D795,""),"")</f>
        <v/>
      </c>
      <c r="B795" s="36" t="str">
        <f t="shared" si="43"/>
        <v/>
      </c>
      <c r="C795" s="183"/>
      <c r="D795" s="190"/>
      <c r="E795" s="190"/>
      <c r="F795" s="188"/>
      <c r="G795" s="481"/>
      <c r="H795" s="7"/>
      <c r="I795" s="255"/>
      <c r="J795" s="255"/>
      <c r="K795" s="37"/>
      <c r="L795" s="193"/>
      <c r="M795" s="193"/>
      <c r="N795" s="51" t="str">
        <f>IF(AND('331-CT'!$E$7=TH!H845,OR(L795="331",M795="331")),"331",IF(AND(OR(L795="131",M795="131"),H795='131-CT'!$E$7),"131",""))</f>
        <v/>
      </c>
      <c r="O795" s="891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IF(OR(TH!L845=TH!$W$7,M795=TH!$W$7),"x","")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IF(AND(OR(LEFT(TH!L845,2)="15",LEFT(TH!M845,2)="15"),'152-CT'!$J$8=TH!F845),"x","")</f>
        <v/>
      </c>
      <c r="Z795" s="51" t="str">
        <f>IF(AND(OR(LEFT(TH!L845,2)="15",LEFT(TH!M845,2)="15"),TK!$E$7=TH!F845),"x","")</f>
        <v/>
      </c>
      <c r="AA795" s="51" t="str">
        <f>IF(AND(B795&lt;=NKC!$N$8,B795&gt;=NKC!$M$8),"x","")</f>
        <v/>
      </c>
      <c r="AB795" s="923"/>
      <c r="AC795" s="589"/>
      <c r="AD795" s="589"/>
    </row>
    <row r="796" spans="1:30" s="210" customFormat="1" ht="15.75" hidden="1" customHeight="1">
      <c r="A796" s="203" t="str">
        <f>IF(B796&lt;&gt;"",IF(AND(B796&gt;=_TM1,B796&lt;=_TM2,OR(TH!L796="1111",TH!M796="1111")),TH!D796,""),"")</f>
        <v/>
      </c>
      <c r="B796" s="36" t="str">
        <f t="shared" si="43"/>
        <v/>
      </c>
      <c r="C796" s="183"/>
      <c r="D796" s="190"/>
      <c r="E796" s="183"/>
      <c r="F796" s="188"/>
      <c r="G796" s="599"/>
      <c r="H796" s="192"/>
      <c r="I796" s="255"/>
      <c r="J796" s="255"/>
      <c r="K796" s="37"/>
      <c r="L796" s="193"/>
      <c r="M796" s="193"/>
      <c r="N796" s="51" t="str">
        <f>IF(AND('331-CT'!$E$7=TH!H846,OR(L796="331",M796="331")),"331",IF(AND(OR(L796="131",M796="131"),H796='131-CT'!$E$7),"131",""))</f>
        <v/>
      </c>
      <c r="O796" s="891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IF(OR(TH!L846=TH!$W$7,M796=TH!$W$7),"x","")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IF(AND(OR(LEFT(TH!L846,2)="15",LEFT(TH!M846,2)="15"),'152-CT'!$J$8=TH!F846),"x","")</f>
        <v/>
      </c>
      <c r="Z796" s="51" t="str">
        <f>IF(AND(OR(LEFT(TH!L846,2)="15",LEFT(TH!M846,2)="15"),TK!$E$7=TH!F846),"x","")</f>
        <v/>
      </c>
      <c r="AA796" s="51" t="str">
        <f>IF(AND(B796&lt;=NKC!$N$8,B796&gt;=NKC!$M$8),"x","")</f>
        <v/>
      </c>
      <c r="AB796" s="923"/>
      <c r="AC796" s="589"/>
      <c r="AD796" s="589"/>
    </row>
    <row r="797" spans="1:30" s="210" customFormat="1" ht="15.75" hidden="1" customHeight="1">
      <c r="A797" s="203" t="str">
        <f>IF(B797&lt;&gt;"",IF(AND(B797&gt;=_TM1,B797&lt;=_TM2,OR(TH!L797="1111",TH!M797="1111")),TH!D797,""),"")</f>
        <v/>
      </c>
      <c r="B797" s="36" t="str">
        <f t="shared" si="43"/>
        <v/>
      </c>
      <c r="C797" s="183"/>
      <c r="D797" s="190"/>
      <c r="E797" s="190"/>
      <c r="F797" s="785"/>
      <c r="G797" s="481"/>
      <c r="H797" s="7"/>
      <c r="I797" s="255"/>
      <c r="J797" s="255"/>
      <c r="K797" s="37"/>
      <c r="L797" s="193"/>
      <c r="M797" s="193"/>
      <c r="N797" s="51" t="str">
        <f>IF(AND('331-CT'!$E$7=TH!H847,OR(L797="331",M797="331")),"331",IF(AND(OR(L797="131",M797="131"),H797='131-CT'!$E$7),"131",""))</f>
        <v/>
      </c>
      <c r="O797" s="891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IF(OR(TH!L847=TH!$W$7,M797=TH!$W$7),"x","")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IF(AND(OR(LEFT(TH!L847,2)="15",LEFT(TH!M847,2)="15"),'152-CT'!$J$8=TH!F847),"x","")</f>
        <v/>
      </c>
      <c r="Z797" s="51" t="str">
        <f>IF(AND(OR(LEFT(TH!L847,2)="15",LEFT(TH!M847,2)="15"),TK!$E$7=TH!F847),"x","")</f>
        <v/>
      </c>
      <c r="AA797" s="51" t="str">
        <f>IF(AND(B797&lt;=NKC!$N$8,B797&gt;=NKC!$M$8),"x","")</f>
        <v/>
      </c>
      <c r="AB797" s="923"/>
      <c r="AC797" s="589"/>
      <c r="AD797" s="589"/>
    </row>
    <row r="798" spans="1:30" s="210" customFormat="1" ht="15.75" hidden="1" customHeight="1">
      <c r="A798" s="203" t="str">
        <f>IF(B798&lt;&gt;"",IF(AND(B798&gt;=_TM1,B798&lt;=_TM2,OR(TH!L798="1111",TH!M798="1111")),TH!D798,""),"")</f>
        <v/>
      </c>
      <c r="B798" s="36" t="str">
        <f t="shared" si="43"/>
        <v/>
      </c>
      <c r="C798" s="183"/>
      <c r="D798" s="190"/>
      <c r="E798" s="190"/>
      <c r="F798" s="191"/>
      <c r="G798" s="481"/>
      <c r="H798" s="7"/>
      <c r="I798" s="255"/>
      <c r="J798" s="255"/>
      <c r="K798" s="37"/>
      <c r="L798" s="193"/>
      <c r="M798" s="193"/>
      <c r="N798" s="51" t="str">
        <f>IF(AND('331-CT'!$E$7=TH!H848,OR(L798="331",M798="331")),"331",IF(AND(OR(L798="131",M798="131"),H798='131-CT'!$E$7),"131",""))</f>
        <v/>
      </c>
      <c r="O798" s="891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IF(OR(TH!L848=TH!$W$7,M798=TH!$W$7),"x","")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IF(AND(OR(LEFT(TH!L848,2)="15",LEFT(TH!M848,2)="15"),'152-CT'!$J$8=TH!F848),"x","")</f>
        <v/>
      </c>
      <c r="Z798" s="51" t="str">
        <f>IF(AND(OR(LEFT(TH!L848,2)="15",LEFT(TH!M848,2)="15"),TK!$E$7=TH!F848),"x","")</f>
        <v/>
      </c>
      <c r="AA798" s="51" t="str">
        <f>IF(AND(B798&lt;=NKC!$N$8,B798&gt;=NKC!$M$8),"x","")</f>
        <v/>
      </c>
      <c r="AB798" s="923"/>
      <c r="AC798" s="589"/>
    </row>
    <row r="799" spans="1:30" s="210" customFormat="1" ht="15.75" hidden="1" customHeight="1">
      <c r="A799" s="203" t="str">
        <f>IF(B799&lt;&gt;"",IF(AND(B799&gt;=_TM1,B799&lt;=_TM2,OR(TH!L799="1111",TH!M799="1111")),TH!D799,""),"")</f>
        <v/>
      </c>
      <c r="B799" s="36" t="str">
        <f t="shared" si="43"/>
        <v/>
      </c>
      <c r="C799" s="183"/>
      <c r="D799" s="190"/>
      <c r="E799" s="190"/>
      <c r="F799" s="191"/>
      <c r="G799" s="481"/>
      <c r="H799" s="192"/>
      <c r="I799" s="255"/>
      <c r="J799" s="255"/>
      <c r="K799" s="37"/>
      <c r="L799" s="193"/>
      <c r="M799" s="193"/>
      <c r="N799" s="51" t="str">
        <f>IF(AND('331-CT'!$E$7=TH!H849,OR(L799="331",M799="331")),"331",IF(AND(OR(L799="131",M799="131"),H799='131-CT'!$E$7),"131",""))</f>
        <v/>
      </c>
      <c r="O799" s="891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IF(OR(TH!L849=TH!$W$7,M799=TH!$W$7),"x","")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IF(AND(OR(LEFT(TH!L849,2)="15",LEFT(TH!M849,2)="15"),'152-CT'!$J$8=TH!F849),"x","")</f>
        <v/>
      </c>
      <c r="Z799" s="51" t="str">
        <f>IF(AND(OR(LEFT(TH!L849,2)="15",LEFT(TH!M849,2)="15"),TK!$E$7=TH!F849),"x","")</f>
        <v/>
      </c>
      <c r="AA799" s="51" t="str">
        <f>IF(AND(B799&lt;=NKC!$N$8,B799&gt;=NKC!$M$8),"x","")</f>
        <v/>
      </c>
      <c r="AB799" s="923"/>
      <c r="AC799" s="589"/>
      <c r="AD799" s="589"/>
    </row>
    <row r="800" spans="1:30" s="210" customFormat="1" ht="15.75" hidden="1" customHeight="1">
      <c r="A800" s="203" t="str">
        <f>IF(B800&lt;&gt;"",IF(AND(B800&gt;=_TM1,B800&lt;=_TM2,OR(TH!L800="1111",TH!M800="1111")),TH!D800,""),"")</f>
        <v/>
      </c>
      <c r="B800" s="36" t="str">
        <f t="shared" si="43"/>
        <v/>
      </c>
      <c r="C800" s="183"/>
      <c r="D800" s="190"/>
      <c r="E800" s="190"/>
      <c r="F800" s="191"/>
      <c r="G800" s="481"/>
      <c r="H800" s="192"/>
      <c r="I800" s="255"/>
      <c r="J800" s="255"/>
      <c r="K800" s="37"/>
      <c r="L800" s="193"/>
      <c r="M800" s="193"/>
      <c r="N800" s="51" t="str">
        <f>IF(AND('331-CT'!$E$7=TH!H850,OR(L800="331",M800="331")),"331",IF(AND(OR(L800="131",M800="131"),H800='131-CT'!$E$7),"131",""))</f>
        <v/>
      </c>
      <c r="O800" s="891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IF(OR(TH!L850=TH!$W$7,M800=TH!$W$7),"x","")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IF(AND(OR(LEFT(TH!L850,2)="15",LEFT(TH!M850,2)="15"),'152-CT'!$J$8=TH!F850),"x","")</f>
        <v/>
      </c>
      <c r="Z800" s="51" t="str">
        <f>IF(AND(OR(LEFT(TH!L850,2)="15",LEFT(TH!M850,2)="15"),TK!$E$7=TH!F850),"x","")</f>
        <v/>
      </c>
      <c r="AA800" s="51" t="str">
        <f>IF(AND(B800&lt;=NKC!$N$8,B800&gt;=NKC!$M$8),"x","")</f>
        <v/>
      </c>
      <c r="AB800" s="923"/>
      <c r="AC800" s="589"/>
      <c r="AD800" s="589"/>
    </row>
    <row r="801" spans="1:30" s="210" customFormat="1" ht="15.75" hidden="1" customHeight="1">
      <c r="A801" s="203" t="str">
        <f>IF(B801&lt;&gt;"",IF(AND(B801&gt;=_TM1,B801&lt;=_TM2,OR(TH!L801="1111",TH!M801="1111")),TH!D801,""),"")</f>
        <v/>
      </c>
      <c r="B801" s="36" t="str">
        <f t="shared" si="43"/>
        <v/>
      </c>
      <c r="C801" s="183"/>
      <c r="D801" s="190"/>
      <c r="E801" s="190"/>
      <c r="F801" s="188"/>
      <c r="G801" s="481"/>
      <c r="H801" s="7"/>
      <c r="I801" s="255"/>
      <c r="J801" s="255"/>
      <c r="K801" s="37"/>
      <c r="L801" s="193"/>
      <c r="M801" s="193"/>
      <c r="N801" s="51" t="str">
        <f>IF(AND('331-CT'!$E$7=TH!H851,OR(L801="331",M801="331")),"331",IF(AND(OR(L801="131",M801="131"),H801='131-CT'!$E$7),"131",""))</f>
        <v/>
      </c>
      <c r="O801" s="891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IF(OR(TH!L851=TH!$W$7,M801=TH!$W$7),"x","")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IF(AND(OR(LEFT(TH!L851,2)="15",LEFT(TH!M851,2)="15"),'152-CT'!$J$8=TH!F851),"x","")</f>
        <v/>
      </c>
      <c r="Z801" s="51" t="str">
        <f>IF(AND(OR(LEFT(TH!L851,2)="15",LEFT(TH!M851,2)="15"),TK!$E$7=TH!F851),"x","")</f>
        <v/>
      </c>
      <c r="AA801" s="51" t="str">
        <f>IF(AND(B801&lt;=NKC!$N$8,B801&gt;=NKC!$M$8),"x","")</f>
        <v/>
      </c>
      <c r="AB801" s="923"/>
      <c r="AC801" s="589"/>
      <c r="AD801" s="589"/>
    </row>
    <row r="802" spans="1:30" s="210" customFormat="1" ht="15.75" hidden="1" customHeight="1">
      <c r="A802" s="203" t="str">
        <f>IF(B802&lt;&gt;"",IF(AND(B802&gt;=_TM1,B802&lt;=_TM2,OR(TH!L802="1111",TH!M802="1111")),TH!D802,""),"")</f>
        <v/>
      </c>
      <c r="B802" s="36" t="str">
        <f t="shared" si="43"/>
        <v/>
      </c>
      <c r="C802" s="183"/>
      <c r="D802" s="190"/>
      <c r="E802" s="190"/>
      <c r="F802" s="188"/>
      <c r="G802" s="481"/>
      <c r="H802" s="7"/>
      <c r="I802" s="255"/>
      <c r="J802" s="255"/>
      <c r="K802" s="597"/>
      <c r="L802" s="193"/>
      <c r="M802" s="193"/>
      <c r="N802" s="51" t="str">
        <f>IF(AND('331-CT'!$E$7=TH!H852,OR(L802="331",M802="331")),"331",IF(AND(OR(L802="131",M802="131"),H802='131-CT'!$E$7),"131",""))</f>
        <v/>
      </c>
      <c r="O802" s="891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IF(OR(TH!L852=TH!$W$7,M802=TH!$W$7),"x","")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IF(AND(OR(LEFT(TH!L852,2)="15",LEFT(TH!M852,2)="15"),'152-CT'!$J$8=TH!F852),"x","")</f>
        <v/>
      </c>
      <c r="Z802" s="51" t="str">
        <f>IF(AND(OR(LEFT(TH!L852,2)="15",LEFT(TH!M852,2)="15"),TK!$E$7=TH!F852),"x","")</f>
        <v/>
      </c>
      <c r="AA802" s="51" t="str">
        <f>IF(AND(B802&lt;=NKC!$N$8,B802&gt;=NKC!$M$8),"x","")</f>
        <v/>
      </c>
      <c r="AB802" s="923"/>
      <c r="AC802" s="589"/>
    </row>
    <row r="803" spans="1:30" s="210" customFormat="1" ht="15.75" hidden="1" customHeight="1">
      <c r="A803" s="203" t="str">
        <f>IF(B803&lt;&gt;"",IF(AND(B803&gt;=_TM1,B803&lt;=_TM2,OR(TH!L803="1111",TH!M803="1111")),TH!D803,""),"")</f>
        <v/>
      </c>
      <c r="B803" s="36" t="str">
        <f t="shared" si="43"/>
        <v/>
      </c>
      <c r="C803" s="183"/>
      <c r="D803" s="190"/>
      <c r="E803" s="190"/>
      <c r="F803" s="296"/>
      <c r="G803" s="481"/>
      <c r="H803" s="7"/>
      <c r="I803" s="255"/>
      <c r="J803" s="255"/>
      <c r="K803" s="37"/>
      <c r="L803" s="193"/>
      <c r="M803" s="193"/>
      <c r="N803" s="51" t="str">
        <f>IF(AND('331-CT'!$E$7=TH!H853,OR(L803="331",M803="331")),"331",IF(AND(OR(L803="131",M803="131"),H803='131-CT'!$E$7),"131",""))</f>
        <v/>
      </c>
      <c r="O803" s="891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IF(OR(TH!L853=TH!$W$7,M803=TH!$W$7),"x","")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IF(AND(OR(LEFT(TH!L853,2)="15",LEFT(TH!M853,2)="15"),'152-CT'!$J$8=TH!F853),"x","")</f>
        <v/>
      </c>
      <c r="Z803" s="51" t="str">
        <f>IF(AND(OR(LEFT(TH!L853,2)="15",LEFT(TH!M853,2)="15"),TK!$E$7=TH!F853),"x","")</f>
        <v/>
      </c>
      <c r="AA803" s="51" t="str">
        <f>IF(AND(B803&lt;=NKC!$N$8,B803&gt;=NKC!$M$8),"x","")</f>
        <v/>
      </c>
      <c r="AB803" s="923"/>
      <c r="AC803" s="589"/>
      <c r="AD803" s="589"/>
    </row>
    <row r="804" spans="1:30" s="210" customFormat="1" ht="15.75" hidden="1" customHeight="1">
      <c r="A804" s="203" t="str">
        <f>IF(B804&lt;&gt;"",IF(AND(B804&gt;=_TM1,B804&lt;=_TM2,OR(TH!L804="1111",TH!M804="1111")),TH!D804,""),"")</f>
        <v/>
      </c>
      <c r="B804" s="36" t="str">
        <f t="shared" si="43"/>
        <v/>
      </c>
      <c r="C804" s="183"/>
      <c r="D804" s="190"/>
      <c r="E804" s="190"/>
      <c r="F804" s="188"/>
      <c r="G804" s="481"/>
      <c r="H804" s="7"/>
      <c r="I804" s="255"/>
      <c r="J804" s="255"/>
      <c r="K804" s="597"/>
      <c r="L804" s="193"/>
      <c r="M804" s="193"/>
      <c r="N804" s="51" t="str">
        <f>IF(AND('331-CT'!$E$7=TH!H854,OR(L804="331",M804="331")),"331",IF(AND(OR(L804="131",M804="131"),H804='131-CT'!$E$7),"131",""))</f>
        <v/>
      </c>
      <c r="O804" s="891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IF(OR(TH!L854=TH!$W$7,M804=TH!$W$7),"x","")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IF(AND(OR(LEFT(TH!L854,2)="15",LEFT(TH!M854,2)="15"),'152-CT'!$J$8=TH!F854),"x","")</f>
        <v/>
      </c>
      <c r="Z804" s="51" t="str">
        <f>IF(AND(OR(LEFT(TH!L854,2)="15",LEFT(TH!M854,2)="15"),TK!$E$7=TH!F854),"x","")</f>
        <v/>
      </c>
      <c r="AA804" s="51" t="str">
        <f>IF(AND(B804&lt;=NKC!$N$8,B804&gt;=NKC!$M$8),"x","")</f>
        <v/>
      </c>
      <c r="AB804" s="923"/>
      <c r="AC804" s="589"/>
    </row>
    <row r="805" spans="1:30" s="210" customFormat="1" ht="15.75" hidden="1" customHeight="1">
      <c r="A805" s="203" t="str">
        <f>IF(B805&lt;&gt;"",IF(AND(B805&gt;=_TM1,B805&lt;=_TM2,OR(TH!L805="1111",TH!M805="1111")),TH!D805,""),"")</f>
        <v/>
      </c>
      <c r="B805" s="36" t="str">
        <f t="shared" si="43"/>
        <v/>
      </c>
      <c r="C805" s="183"/>
      <c r="D805" s="190"/>
      <c r="E805" s="190"/>
      <c r="F805" s="296"/>
      <c r="G805" s="481"/>
      <c r="H805" s="7"/>
      <c r="I805" s="255"/>
      <c r="J805" s="255"/>
      <c r="K805" s="37"/>
      <c r="L805" s="193"/>
      <c r="M805" s="193"/>
      <c r="N805" s="51" t="str">
        <f>IF(AND('331-CT'!$E$7=TH!H855,OR(L805="331",M805="331")),"331",IF(AND(OR(L805="131",M805="131"),H805='131-CT'!$E$7),"131",""))</f>
        <v/>
      </c>
      <c r="O805" s="891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IF(OR(TH!L855=TH!$W$7,M805=TH!$W$7),"x","")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IF(AND(OR(LEFT(TH!L855,2)="15",LEFT(TH!M855,2)="15"),'152-CT'!$J$8=TH!F855),"x","")</f>
        <v/>
      </c>
      <c r="Z805" s="51" t="str">
        <f>IF(AND(OR(LEFT(TH!L855,2)="15",LEFT(TH!M855,2)="15"),TK!$E$7=TH!F855),"x","")</f>
        <v/>
      </c>
      <c r="AA805" s="51" t="str">
        <f>IF(AND(B805&lt;=NKC!$N$8,B805&gt;=NKC!$M$8),"x","")</f>
        <v/>
      </c>
      <c r="AB805" s="923"/>
      <c r="AC805" s="589"/>
      <c r="AD805" s="589"/>
    </row>
    <row r="806" spans="1:30" s="210" customFormat="1" ht="15.75" hidden="1" customHeight="1">
      <c r="A806" s="203" t="str">
        <f>IF(B806&lt;&gt;"",IF(AND(B806&gt;=_TM1,B806&lt;=_TM2,OR(TH!L806="1111",TH!M806="1111")),TH!D806,""),"")</f>
        <v/>
      </c>
      <c r="B806" s="36" t="str">
        <f t="shared" si="43"/>
        <v/>
      </c>
      <c r="C806" s="183"/>
      <c r="D806" s="190"/>
      <c r="E806" s="190"/>
      <c r="F806" s="188"/>
      <c r="G806" s="481"/>
      <c r="H806" s="7"/>
      <c r="I806" s="255"/>
      <c r="J806" s="255"/>
      <c r="K806" s="37"/>
      <c r="L806" s="193"/>
      <c r="M806" s="193"/>
      <c r="N806" s="51" t="str">
        <f>IF(AND('331-CT'!$E$7=TH!H856,OR(L806="331",M806="331")),"331",IF(AND(OR(L806="131",M806="131"),H806='131-CT'!$E$7),"131",""))</f>
        <v/>
      </c>
      <c r="O806" s="891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IF(OR(TH!L856=TH!$W$7,M806=TH!$W$7),"x","")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IF(AND(OR(LEFT(TH!L856,2)="15",LEFT(TH!M856,2)="15"),'152-CT'!$J$8=TH!F856),"x","")</f>
        <v/>
      </c>
      <c r="Z806" s="51" t="str">
        <f>IF(AND(OR(LEFT(TH!L856,2)="15",LEFT(TH!M856,2)="15"),TK!$E$7=TH!F856),"x","")</f>
        <v/>
      </c>
      <c r="AA806" s="51" t="str">
        <f>IF(AND(B806&lt;=NKC!$N$8,B806&gt;=NKC!$M$8),"x","")</f>
        <v/>
      </c>
      <c r="AB806" s="923"/>
      <c r="AC806" s="589"/>
      <c r="AD806" s="589"/>
    </row>
    <row r="807" spans="1:30" s="210" customFormat="1" ht="15.75" hidden="1" customHeight="1">
      <c r="A807" s="203" t="str">
        <f>IF(B807&lt;&gt;"",IF(AND(B807&gt;=_TM1,B807&lt;=_TM2,OR(TH!L807="1111",TH!M807="1111")),TH!D807,""),"")</f>
        <v/>
      </c>
      <c r="B807" s="36" t="str">
        <f t="shared" si="43"/>
        <v/>
      </c>
      <c r="C807" s="183"/>
      <c r="D807" s="190"/>
      <c r="E807" s="190"/>
      <c r="F807" s="188"/>
      <c r="G807" s="481"/>
      <c r="H807" s="7"/>
      <c r="I807" s="255"/>
      <c r="J807" s="255"/>
      <c r="K807" s="37"/>
      <c r="L807" s="193"/>
      <c r="M807" s="193"/>
      <c r="N807" s="51" t="str">
        <f>IF(AND('331-CT'!$E$7=TH!H857,OR(L807="331",M807="331")),"331",IF(AND(OR(L807="131",M807="131"),H807='131-CT'!$E$7),"131",""))</f>
        <v/>
      </c>
      <c r="O807" s="891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IF(OR(TH!L857=TH!$W$7,M807=TH!$W$7),"x","")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IF(AND(OR(LEFT(TH!L857,2)="15",LEFT(TH!M857,2)="15"),'152-CT'!$J$8=TH!F857),"x","")</f>
        <v/>
      </c>
      <c r="Z807" s="51" t="str">
        <f>IF(AND(OR(LEFT(TH!L857,2)="15",LEFT(TH!M857,2)="15"),TK!$E$7=TH!F857),"x","")</f>
        <v/>
      </c>
      <c r="AA807" s="51" t="str">
        <f>IF(AND(B807&lt;=NKC!$N$8,B807&gt;=NKC!$M$8),"x","")</f>
        <v/>
      </c>
      <c r="AB807" s="923"/>
      <c r="AC807" s="589"/>
      <c r="AD807" s="589"/>
    </row>
    <row r="808" spans="1:30" s="210" customFormat="1" ht="15.75" hidden="1" customHeight="1">
      <c r="A808" s="203" t="str">
        <f>IF(B808&lt;&gt;"",IF(AND(B808&gt;=_TM1,B808&lt;=_TM2,OR(TH!L808="1111",TH!M808="1111")),TH!D808,""),"")</f>
        <v/>
      </c>
      <c r="B808" s="36" t="str">
        <f t="shared" si="43"/>
        <v/>
      </c>
      <c r="C808" s="183"/>
      <c r="D808" s="190"/>
      <c r="E808" s="190"/>
      <c r="F808" s="188"/>
      <c r="G808" s="481"/>
      <c r="H808" s="7"/>
      <c r="I808" s="255"/>
      <c r="J808" s="255"/>
      <c r="K808" s="597"/>
      <c r="L808" s="193"/>
      <c r="M808" s="193"/>
      <c r="N808" s="51" t="str">
        <f>IF(AND('331-CT'!$E$7=TH!H858,OR(L808="331",M808="331")),"331",IF(AND(OR(L808="131",M808="131"),H808='131-CT'!$E$7),"131",""))</f>
        <v/>
      </c>
      <c r="O808" s="891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IF(OR(TH!L858=TH!$W$7,M808=TH!$W$7),"x","")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IF(AND(OR(LEFT(TH!L858,2)="15",LEFT(TH!M858,2)="15"),'152-CT'!$J$8=TH!F858),"x","")</f>
        <v/>
      </c>
      <c r="Z808" s="51" t="str">
        <f>IF(AND(OR(LEFT(TH!L858,2)="15",LEFT(TH!M858,2)="15"),TK!$E$7=TH!F858),"x","")</f>
        <v/>
      </c>
      <c r="AA808" s="51" t="str">
        <f>IF(AND(B808&lt;=NKC!$N$8,B808&gt;=NKC!$M$8),"x","")</f>
        <v/>
      </c>
      <c r="AB808" s="923"/>
      <c r="AC808" s="589"/>
      <c r="AD808" s="589"/>
    </row>
    <row r="809" spans="1:30" s="210" customFormat="1" ht="15.75" hidden="1" customHeight="1">
      <c r="A809" s="203" t="str">
        <f>IF(B809&lt;&gt;"",IF(AND(B809&gt;=_TM1,B809&lt;=_TM2,OR(TH!L809="1111",TH!M809="1111")),TH!D809,""),"")</f>
        <v/>
      </c>
      <c r="B809" s="36" t="str">
        <f t="shared" si="43"/>
        <v/>
      </c>
      <c r="C809" s="183"/>
      <c r="D809" s="190"/>
      <c r="E809" s="190"/>
      <c r="F809" s="188"/>
      <c r="G809" s="481"/>
      <c r="H809" s="7"/>
      <c r="I809" s="255"/>
      <c r="J809" s="255"/>
      <c r="K809" s="37"/>
      <c r="L809" s="193"/>
      <c r="M809" s="193"/>
      <c r="N809" s="51" t="str">
        <f>IF(AND('331-CT'!$E$7=TH!H859,OR(L809="331",M809="331")),"331",IF(AND(OR(L809="131",M809="131"),H809='131-CT'!$E$7),"131",""))</f>
        <v/>
      </c>
      <c r="O809" s="891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IF(OR(TH!L859=TH!$W$7,M809=TH!$W$7),"x","")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IF(AND(OR(LEFT(TH!L859,2)="15",LEFT(TH!M859,2)="15"),'152-CT'!$J$8=TH!F859),"x","")</f>
        <v/>
      </c>
      <c r="Z809" s="51" t="str">
        <f>IF(AND(OR(LEFT(TH!L859,2)="15",LEFT(TH!M859,2)="15"),TK!$E$7=TH!F859),"x","")</f>
        <v/>
      </c>
      <c r="AA809" s="51" t="str">
        <f>IF(AND(B809&lt;=NKC!$N$8,B809&gt;=NKC!$M$8),"x","")</f>
        <v/>
      </c>
      <c r="AB809" s="923"/>
      <c r="AC809" s="589"/>
      <c r="AD809" s="589"/>
    </row>
    <row r="810" spans="1:30" s="210" customFormat="1" ht="15.75" hidden="1" customHeight="1">
      <c r="A810" s="203" t="str">
        <f>IF(B810&lt;&gt;"",IF(AND(B810&gt;=_TM1,B810&lt;=_TM2,OR(TH!L810="1111",TH!M810="1111")),TH!D810,""),"")</f>
        <v/>
      </c>
      <c r="B810" s="36" t="str">
        <f t="shared" si="43"/>
        <v/>
      </c>
      <c r="C810" s="183"/>
      <c r="D810" s="190"/>
      <c r="E810" s="183"/>
      <c r="F810" s="188"/>
      <c r="G810" s="599"/>
      <c r="H810" s="192"/>
      <c r="I810" s="255"/>
      <c r="J810" s="255"/>
      <c r="K810" s="37"/>
      <c r="L810" s="193"/>
      <c r="M810" s="193"/>
      <c r="N810" s="51" t="str">
        <f>IF(AND('331-CT'!$E$7=TH!H860,OR(L810="331",M810="331")),"331",IF(AND(OR(L810="131",M810="131"),H810='131-CT'!$E$7),"131",""))</f>
        <v/>
      </c>
      <c r="O810" s="891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IF(OR(TH!L860=TH!$W$7,M810=TH!$W$7),"x","")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IF(AND(OR(LEFT(TH!L860,2)="15",LEFT(TH!M860,2)="15"),'152-CT'!$J$8=TH!F860),"x","")</f>
        <v/>
      </c>
      <c r="Z810" s="51" t="str">
        <f>IF(AND(OR(LEFT(TH!L860,2)="15",LEFT(TH!M860,2)="15"),TK!$E$7=TH!F860),"x","")</f>
        <v/>
      </c>
      <c r="AA810" s="51" t="str">
        <f>IF(AND(B810&lt;=NKC!$N$8,B810&gt;=NKC!$M$8),"x","")</f>
        <v/>
      </c>
      <c r="AB810" s="923"/>
      <c r="AC810" s="589"/>
      <c r="AD810" s="589"/>
    </row>
    <row r="811" spans="1:30" s="210" customFormat="1" ht="15.75" hidden="1" customHeight="1">
      <c r="A811" s="203" t="str">
        <f>IF(B811&lt;&gt;"",IF(AND(B811&gt;=_TM1,B811&lt;=_TM2,OR(TH!L811="1111",TH!M811="1111")),TH!D811,""),"")</f>
        <v/>
      </c>
      <c r="B811" s="36" t="str">
        <f t="shared" si="43"/>
        <v/>
      </c>
      <c r="C811" s="183"/>
      <c r="D811" s="190"/>
      <c r="E811" s="183"/>
      <c r="F811" s="188"/>
      <c r="G811" s="599"/>
      <c r="H811" s="7"/>
      <c r="I811" s="255"/>
      <c r="J811" s="255"/>
      <c r="K811" s="597"/>
      <c r="L811" s="193"/>
      <c r="M811" s="193"/>
      <c r="N811" s="51" t="str">
        <f>IF(AND('331-CT'!$E$7=TH!H861,OR(L811="331",M811="331")),"331",IF(AND(OR(L811="131",M811="131"),H811='131-CT'!$E$7),"131",""))</f>
        <v/>
      </c>
      <c r="O811" s="891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IF(OR(TH!L861=TH!$W$7,M811=TH!$W$7),"x","")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IF(AND(OR(LEFT(TH!L861,2)="15",LEFT(TH!M861,2)="15"),'152-CT'!$J$8=TH!F861),"x","")</f>
        <v/>
      </c>
      <c r="Z811" s="51" t="str">
        <f>IF(AND(OR(LEFT(TH!L861,2)="15",LEFT(TH!M861,2)="15"),TK!$E$7=TH!F861),"x","")</f>
        <v/>
      </c>
      <c r="AA811" s="51" t="str">
        <f>IF(AND(B811&lt;=NKC!$N$8,B811&gt;=NKC!$M$8),"x","")</f>
        <v/>
      </c>
      <c r="AB811" s="923"/>
      <c r="AC811" s="589"/>
      <c r="AD811" s="589"/>
    </row>
    <row r="812" spans="1:30" s="210" customFormat="1" ht="15.75" hidden="1" customHeight="1">
      <c r="A812" s="203" t="str">
        <f>IF(B812&lt;&gt;"",IF(AND(B812&gt;=_TM1,B812&lt;=_TM2,OR(TH!L812="1111",TH!M812="1111")),TH!D812,""),"")</f>
        <v/>
      </c>
      <c r="B812" s="36" t="str">
        <f t="shared" si="43"/>
        <v/>
      </c>
      <c r="C812" s="183"/>
      <c r="D812" s="190"/>
      <c r="E812" s="183"/>
      <c r="F812" s="188"/>
      <c r="G812" s="599"/>
      <c r="H812" s="192"/>
      <c r="I812" s="255"/>
      <c r="J812" s="255"/>
      <c r="K812" s="37"/>
      <c r="L812" s="193"/>
      <c r="M812" s="193"/>
      <c r="N812" s="51" t="str">
        <f>IF(AND('331-CT'!$E$7=TH!H862,OR(L812="331",M812="331")),"331",IF(AND(OR(L812="131",M812="131"),H812='131-CT'!$E$7),"131",""))</f>
        <v/>
      </c>
      <c r="O812" s="891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IF(OR(TH!L862=TH!$W$7,M812=TH!$W$7),"x","")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IF(AND(OR(LEFT(TH!L862,2)="15",LEFT(TH!M862,2)="15"),'152-CT'!$J$8=TH!F862),"x","")</f>
        <v/>
      </c>
      <c r="Z812" s="51" t="str">
        <f>IF(AND(OR(LEFT(TH!L862,2)="15",LEFT(TH!M862,2)="15"),TK!$E$7=TH!F862),"x","")</f>
        <v/>
      </c>
      <c r="AA812" s="51" t="str">
        <f>IF(AND(B812&lt;=NKC!$N$8,B812&gt;=NKC!$M$8),"x","")</f>
        <v/>
      </c>
      <c r="AB812" s="923"/>
      <c r="AC812" s="589"/>
      <c r="AD812" s="589"/>
    </row>
    <row r="813" spans="1:30" s="210" customFormat="1" ht="15.75" hidden="1" customHeight="1">
      <c r="A813" s="203" t="str">
        <f>IF(B813&lt;&gt;"",IF(AND(B813&gt;=_TM1,B813&lt;=_TM2,OR(TH!L813="1111",TH!M813="1111")),TH!D813,""),"")</f>
        <v/>
      </c>
      <c r="B813" s="36" t="str">
        <f t="shared" si="43"/>
        <v/>
      </c>
      <c r="C813" s="183"/>
      <c r="D813" s="190"/>
      <c r="E813" s="183"/>
      <c r="F813" s="188"/>
      <c r="G813" s="599"/>
      <c r="H813" s="192"/>
      <c r="I813" s="255"/>
      <c r="J813" s="255"/>
      <c r="K813" s="37"/>
      <c r="L813" s="193"/>
      <c r="M813" s="193"/>
      <c r="N813" s="51" t="str">
        <f>IF(AND('331-CT'!$E$7=TH!H863,OR(L813="331",M813="331")),"331",IF(AND(OR(L813="131",M813="131"),H813='131-CT'!$E$7),"131",""))</f>
        <v/>
      </c>
      <c r="O813" s="891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IF(OR(TH!L863=TH!$W$7,M813=TH!$W$7),"x","")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IF(AND(OR(LEFT(TH!L863,2)="15",LEFT(TH!M863,2)="15"),'152-CT'!$J$8=TH!F863),"x","")</f>
        <v/>
      </c>
      <c r="Z813" s="51" t="str">
        <f>IF(AND(OR(LEFT(TH!L863,2)="15",LEFT(TH!M863,2)="15"),TK!$E$7=TH!F863),"x","")</f>
        <v/>
      </c>
      <c r="AA813" s="51" t="str">
        <f>IF(AND(B813&lt;=NKC!$N$8,B813&gt;=NKC!$M$8),"x","")</f>
        <v/>
      </c>
      <c r="AB813" s="923"/>
      <c r="AC813" s="589"/>
    </row>
    <row r="814" spans="1:30" s="210" customFormat="1" ht="15.75" hidden="1" customHeight="1">
      <c r="A814" s="203" t="str">
        <f>IF(B814&lt;&gt;"",IF(AND(B814&gt;=_TM1,B814&lt;=_TM2,OR(TH!L814="1111",TH!M814="1111")),TH!D814,""),"")</f>
        <v/>
      </c>
      <c r="B814" s="36" t="str">
        <f t="shared" si="43"/>
        <v/>
      </c>
      <c r="C814" s="183"/>
      <c r="D814" s="190"/>
      <c r="E814" s="190"/>
      <c r="F814" s="188"/>
      <c r="G814" s="481"/>
      <c r="H814" s="192"/>
      <c r="I814" s="255"/>
      <c r="J814" s="255"/>
      <c r="K814" s="597"/>
      <c r="L814" s="193"/>
      <c r="M814" s="193"/>
      <c r="N814" s="51" t="str">
        <f>IF(AND('331-CT'!$E$7=TH!H864,OR(L814="331",M814="331")),"331",IF(AND(OR(L814="131",M814="131"),H814='131-CT'!$E$7),"131",""))</f>
        <v/>
      </c>
      <c r="O814" s="891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IF(OR(TH!L864=TH!$W$7,M814=TH!$W$7),"x","")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IF(AND(OR(LEFT(TH!L864,2)="15",LEFT(TH!M864,2)="15"),'152-CT'!$J$8=TH!F864),"x","")</f>
        <v/>
      </c>
      <c r="Z814" s="51" t="str">
        <f>IF(AND(OR(LEFT(TH!L864,2)="15",LEFT(TH!M864,2)="15"),TK!$E$7=TH!F864),"x","")</f>
        <v/>
      </c>
      <c r="AA814" s="51" t="str">
        <f>IF(AND(B814&lt;=NKC!$N$8,B814&gt;=NKC!$M$8),"x","")</f>
        <v/>
      </c>
      <c r="AB814" s="923"/>
      <c r="AC814" s="589"/>
      <c r="AD814" s="589"/>
    </row>
    <row r="815" spans="1:30" s="210" customFormat="1" ht="15.75" hidden="1" customHeight="1">
      <c r="A815" s="203" t="str">
        <f>IF(B815&lt;&gt;"",IF(AND(B815&gt;=_TM1,B815&lt;=_TM2,OR(TH!L815="1111",TH!M815="1111")),TH!D815,""),"")</f>
        <v/>
      </c>
      <c r="B815" s="36" t="str">
        <f t="shared" si="43"/>
        <v/>
      </c>
      <c r="C815" s="183"/>
      <c r="D815" s="190"/>
      <c r="E815" s="190"/>
      <c r="F815" s="188"/>
      <c r="G815" s="481"/>
      <c r="H815" s="7"/>
      <c r="I815" s="255"/>
      <c r="J815" s="255"/>
      <c r="K815" s="37"/>
      <c r="L815" s="193"/>
      <c r="M815" s="193"/>
      <c r="N815" s="51" t="str">
        <f>IF(AND('331-CT'!$E$7=TH!H865,OR(L815="331",M815="331")),"331",IF(AND(OR(L815="131",M815="131"),H815='131-CT'!$E$7),"131",""))</f>
        <v/>
      </c>
      <c r="O815" s="891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IF(OR(TH!L865=TH!$W$7,M815=TH!$W$7),"x","")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IF(AND(OR(LEFT(TH!L865,2)="15",LEFT(TH!M865,2)="15"),'152-CT'!$J$8=TH!F865),"x","")</f>
        <v/>
      </c>
      <c r="Z815" s="51" t="str">
        <f>IF(AND(OR(LEFT(TH!L865,2)="15",LEFT(TH!M865,2)="15"),TK!$E$7=TH!F865),"x","")</f>
        <v/>
      </c>
      <c r="AA815" s="51" t="str">
        <f>IF(AND(B815&lt;=NKC!$N$8,B815&gt;=NKC!$M$8),"x","")</f>
        <v/>
      </c>
      <c r="AB815" s="923"/>
      <c r="AC815" s="589"/>
      <c r="AD815" s="589"/>
    </row>
    <row r="816" spans="1:30" s="210" customFormat="1" ht="15.75" hidden="1" customHeight="1">
      <c r="A816" s="203" t="str">
        <f>IF(B816&lt;&gt;"",IF(AND(B816&gt;=_TM1,B816&lt;=_TM2,OR(TH!L816="1111",TH!M816="1111")),TH!D816,""),"")</f>
        <v/>
      </c>
      <c r="B816" s="36" t="str">
        <f t="shared" si="43"/>
        <v/>
      </c>
      <c r="C816" s="183"/>
      <c r="D816" s="190"/>
      <c r="E816" s="190"/>
      <c r="F816" s="188"/>
      <c r="G816" s="481"/>
      <c r="H816" s="7"/>
      <c r="I816" s="255"/>
      <c r="J816" s="255"/>
      <c r="K816" s="37"/>
      <c r="L816" s="193"/>
      <c r="M816" s="193"/>
      <c r="N816" s="51" t="str">
        <f>IF(AND('331-CT'!$E$7=TH!H866,OR(L816="331",M816="331")),"331",IF(AND(OR(L816="131",M816="131"),H816='131-CT'!$E$7),"131",""))</f>
        <v/>
      </c>
      <c r="O816" s="891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IF(OR(TH!L866=TH!$W$7,M816=TH!$W$7),"x","")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IF(AND(OR(LEFT(TH!L866,2)="15",LEFT(TH!M866,2)="15"),'152-CT'!$J$8=TH!F866),"x","")</f>
        <v/>
      </c>
      <c r="Z816" s="51" t="str">
        <f>IF(AND(OR(LEFT(TH!L866,2)="15",LEFT(TH!M866,2)="15"),TK!$E$7=TH!F866),"x","")</f>
        <v/>
      </c>
      <c r="AA816" s="51" t="str">
        <f>IF(AND(B816&lt;=NKC!$N$8,B816&gt;=NKC!$M$8),"x","")</f>
        <v/>
      </c>
      <c r="AB816" s="923"/>
      <c r="AC816" s="589"/>
    </row>
    <row r="817" spans="1:33" s="210" customFormat="1" ht="15.75" hidden="1" customHeight="1">
      <c r="A817" s="203" t="str">
        <f>IF(B817&lt;&gt;"",IF(AND(B817&gt;=_TM1,B817&lt;=_TM2,OR(TH!L817="1111",TH!M817="1111")),TH!D817,""),"")</f>
        <v/>
      </c>
      <c r="B817" s="36" t="str">
        <f t="shared" si="43"/>
        <v/>
      </c>
      <c r="C817" s="183"/>
      <c r="D817" s="190"/>
      <c r="E817" s="190"/>
      <c r="F817" s="188"/>
      <c r="G817" s="481"/>
      <c r="H817" s="7"/>
      <c r="I817" s="255"/>
      <c r="J817" s="255"/>
      <c r="K817" s="597"/>
      <c r="L817" s="193"/>
      <c r="M817" s="193"/>
      <c r="N817" s="51" t="str">
        <f>IF(AND('331-CT'!$E$7=TH!H867,OR(L817="331",M817="331")),"331",IF(AND(OR(L817="131",M817="131"),H817='131-CT'!$E$7),"131",""))</f>
        <v/>
      </c>
      <c r="O817" s="891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IF(OR(TH!L867=TH!$W$7,M817=TH!$W$7),"x","")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IF(AND(OR(LEFT(TH!L867,2)="15",LEFT(TH!M867,2)="15"),'152-CT'!$J$8=TH!F867),"x","")</f>
        <v/>
      </c>
      <c r="Z817" s="51" t="str">
        <f>IF(AND(OR(LEFT(TH!L867,2)="15",LEFT(TH!M867,2)="15"),TK!$E$7=TH!F867),"x","")</f>
        <v/>
      </c>
      <c r="AA817" s="51" t="str">
        <f>IF(AND(B817&lt;=NKC!$N$8,B817&gt;=NKC!$M$8),"x","")</f>
        <v/>
      </c>
      <c r="AB817" s="923"/>
      <c r="AC817" s="589"/>
      <c r="AD817" s="589"/>
    </row>
    <row r="818" spans="1:33" s="210" customFormat="1" ht="15.75" hidden="1" customHeight="1">
      <c r="A818" s="203" t="str">
        <f>IF(B818&lt;&gt;"",IF(AND(B818&gt;=_TM1,B818&lt;=_TM2,OR(TH!L818="1111",TH!M818="1111")),TH!D818,""),"")</f>
        <v/>
      </c>
      <c r="B818" s="36" t="str">
        <f t="shared" si="43"/>
        <v/>
      </c>
      <c r="C818" s="183"/>
      <c r="D818" s="190"/>
      <c r="E818" s="190"/>
      <c r="F818" s="188"/>
      <c r="G818" s="481"/>
      <c r="H818" s="7"/>
      <c r="I818" s="255"/>
      <c r="J818" s="255"/>
      <c r="K818" s="37"/>
      <c r="L818" s="193"/>
      <c r="M818" s="193"/>
      <c r="N818" s="51" t="str">
        <f>IF(AND('331-CT'!$E$7=TH!H868,OR(L818="331",M818="331")),"331",IF(AND(OR(L818="131",M818="131"),H818='131-CT'!$E$7),"131",""))</f>
        <v/>
      </c>
      <c r="O818" s="891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IF(OR(TH!L868=TH!$W$7,M818=TH!$W$7),"x","")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IF(AND(OR(LEFT(TH!L868,2)="15",LEFT(TH!M868,2)="15"),'152-CT'!$J$8=TH!F868),"x","")</f>
        <v/>
      </c>
      <c r="Z818" s="51" t="str">
        <f>IF(AND(OR(LEFT(TH!L868,2)="15",LEFT(TH!M868,2)="15"),TK!$E$7=TH!F868),"x","")</f>
        <v/>
      </c>
      <c r="AA818" s="51" t="str">
        <f>IF(AND(B818&lt;=NKC!$N$8,B818&gt;=NKC!$M$8),"x","")</f>
        <v/>
      </c>
      <c r="AB818" s="923"/>
      <c r="AC818" s="589"/>
    </row>
    <row r="819" spans="1:33" s="210" customFormat="1" ht="15.75" hidden="1" customHeight="1">
      <c r="A819" s="203" t="str">
        <f>IF(B819&lt;&gt;"",IF(AND(B819&gt;=_TM1,B819&lt;=_TM2,OR(TH!L819="1111",TH!M819="1111")),TH!D819,""),"")</f>
        <v/>
      </c>
      <c r="B819" s="36" t="str">
        <f t="shared" si="43"/>
        <v/>
      </c>
      <c r="C819" s="183"/>
      <c r="D819" s="190"/>
      <c r="E819" s="190"/>
      <c r="F819" s="191"/>
      <c r="G819" s="481"/>
      <c r="H819" s="7"/>
      <c r="I819" s="255"/>
      <c r="J819" s="255"/>
      <c r="K819" s="37"/>
      <c r="L819" s="193"/>
      <c r="M819" s="193"/>
      <c r="N819" s="51" t="str">
        <f>IF(AND('331-CT'!$E$7=TH!H869,OR(L819="331",M819="331")),"331",IF(AND(OR(L819="131",M819="131"),H819='131-CT'!$E$7),"131",""))</f>
        <v/>
      </c>
      <c r="O819" s="891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IF(OR(TH!L869=TH!$W$7,M819=TH!$W$7),"x","")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IF(AND(OR(LEFT(TH!L869,2)="15",LEFT(TH!M869,2)="15"),'152-CT'!$J$8=TH!F869),"x","")</f>
        <v/>
      </c>
      <c r="Z819" s="51" t="str">
        <f>IF(AND(OR(LEFT(TH!L869,2)="15",LEFT(TH!M869,2)="15"),TK!$E$7=TH!F869),"x","")</f>
        <v/>
      </c>
      <c r="AA819" s="51" t="str">
        <f>IF(AND(B819&lt;=NKC!$N$8,B819&gt;=NKC!$M$8),"x","")</f>
        <v/>
      </c>
      <c r="AB819" s="923"/>
      <c r="AC819" s="589"/>
      <c r="AD819" s="589"/>
    </row>
    <row r="820" spans="1:33" s="210" customFormat="1" ht="15.75" hidden="1" customHeight="1">
      <c r="A820" s="203" t="str">
        <f>IF(B820&lt;&gt;"",IF(AND(B820&gt;=_TM1,B820&lt;=_TM2,OR(TH!L820="1111",TH!M820="1111")),TH!D820,""),"")</f>
        <v/>
      </c>
      <c r="B820" s="36" t="str">
        <f t="shared" si="43"/>
        <v/>
      </c>
      <c r="C820" s="183"/>
      <c r="D820" s="190"/>
      <c r="E820" s="190"/>
      <c r="F820" s="188"/>
      <c r="G820" s="481"/>
      <c r="H820" s="7"/>
      <c r="I820" s="255"/>
      <c r="J820" s="255"/>
      <c r="K820" s="37"/>
      <c r="L820" s="193"/>
      <c r="M820" s="193"/>
      <c r="N820" s="51" t="str">
        <f>IF(AND('331-CT'!$E$7=TH!H870,OR(L820="331",M820="331")),"331",IF(AND(OR(L820="131",M820="131"),H820='131-CT'!$E$7),"131",""))</f>
        <v/>
      </c>
      <c r="O820" s="891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IF(OR(TH!L870=TH!$W$7,M820=TH!$W$7),"x","")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IF(AND(OR(LEFT(TH!L870,2)="15",LEFT(TH!M870,2)="15"),'152-CT'!$J$8=TH!F870),"x","")</f>
        <v/>
      </c>
      <c r="Z820" s="51" t="str">
        <f>IF(AND(OR(LEFT(TH!L870,2)="15",LEFT(TH!M870,2)="15"),TK!$E$7=TH!F870),"x","")</f>
        <v/>
      </c>
      <c r="AA820" s="51" t="str">
        <f>IF(AND(B820&lt;=NKC!$N$8,B820&gt;=NKC!$M$8),"x","")</f>
        <v/>
      </c>
      <c r="AB820" s="923"/>
      <c r="AC820" s="589"/>
      <c r="AD820" s="589"/>
    </row>
    <row r="821" spans="1:33" s="210" customFormat="1" ht="15.75" hidden="1" customHeight="1">
      <c r="A821" s="203" t="str">
        <f>IF(B821&lt;&gt;"",IF(AND(B821&gt;=_TM1,B821&lt;=_TM2,OR(TH!L821="1111",TH!M821="1111")),TH!D821,""),"")</f>
        <v/>
      </c>
      <c r="B821" s="36" t="str">
        <f t="shared" si="43"/>
        <v/>
      </c>
      <c r="C821" s="183"/>
      <c r="D821" s="190"/>
      <c r="E821" s="190"/>
      <c r="F821" s="188"/>
      <c r="G821" s="481"/>
      <c r="H821" s="7"/>
      <c r="I821" s="256"/>
      <c r="J821" s="255"/>
      <c r="K821" s="597"/>
      <c r="L821" s="193"/>
      <c r="M821" s="193"/>
      <c r="N821" s="51" t="str">
        <f>IF(AND('331-CT'!$E$7=TH!H871,OR(L821="331",M821="331")),"331",IF(AND(OR(L821="131",M821="131"),H821='131-CT'!$E$7),"131",""))</f>
        <v/>
      </c>
      <c r="O821" s="891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IF(OR(TH!L871=TH!$W$7,M821=TH!$W$7),"x","")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IF(AND(OR(LEFT(TH!L871,2)="15",LEFT(TH!M871,2)="15"),'152-CT'!$J$8=TH!F871),"x","")</f>
        <v/>
      </c>
      <c r="Z821" s="51" t="str">
        <f>IF(AND(OR(LEFT(TH!L871,2)="15",LEFT(TH!M871,2)="15"),TK!$E$7=TH!F871),"x","")</f>
        <v/>
      </c>
      <c r="AA821" s="51" t="str">
        <f>IF(AND(B821&lt;=NKC!$N$8,B821&gt;=NKC!$M$8),"x","")</f>
        <v/>
      </c>
      <c r="AB821" s="923"/>
      <c r="AC821" s="589"/>
      <c r="AD821" s="589"/>
    </row>
    <row r="822" spans="1:33" s="210" customFormat="1" ht="15.75" hidden="1" customHeight="1">
      <c r="A822" s="203" t="str">
        <f>IF(B822&lt;&gt;"",IF(AND(B822&gt;=_TM1,B822&lt;=_TM2,OR(TH!L822="1111",TH!M822="1111")),TH!D822,""),"")</f>
        <v/>
      </c>
      <c r="B822" s="36" t="str">
        <f t="shared" si="43"/>
        <v/>
      </c>
      <c r="C822" s="183"/>
      <c r="D822" s="190"/>
      <c r="E822" s="190"/>
      <c r="F822" s="188"/>
      <c r="G822" s="481"/>
      <c r="H822" s="7"/>
      <c r="I822" s="255"/>
      <c r="J822" s="255"/>
      <c r="K822" s="37"/>
      <c r="L822" s="193"/>
      <c r="M822" s="193"/>
      <c r="N822" s="51" t="str">
        <f>IF(AND('331-CT'!$E$7=TH!H872,OR(L822="331",M822="331")),"331",IF(AND(OR(L822="131",M822="131"),H822='131-CT'!$E$7),"131",""))</f>
        <v/>
      </c>
      <c r="O822" s="891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IF(OR(TH!L872=TH!$W$7,M822=TH!$W$7),"x","")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IF(AND(OR(LEFT(TH!L872,2)="15",LEFT(TH!M872,2)="15"),'152-CT'!$J$8=TH!F872),"x","")</f>
        <v/>
      </c>
      <c r="Z822" s="51" t="str">
        <f>IF(AND(OR(LEFT(TH!L872,2)="15",LEFT(TH!M872,2)="15"),TK!$E$7=TH!F872),"x","")</f>
        <v/>
      </c>
      <c r="AA822" s="51" t="str">
        <f>IF(AND(B822&lt;=NKC!$N$8,B822&gt;=NKC!$M$8),"x","")</f>
        <v/>
      </c>
      <c r="AB822" s="923"/>
      <c r="AC822" s="589"/>
    </row>
    <row r="823" spans="1:33" s="210" customFormat="1" ht="15.75" hidden="1" customHeight="1">
      <c r="A823" s="203" t="str">
        <f>IF(B823&lt;&gt;"",IF(AND(B823&gt;=_TM1,B823&lt;=_TM2,OR(TH!L823="1111",TH!M823="1111")),TH!D823,""),"")</f>
        <v/>
      </c>
      <c r="B823" s="36" t="str">
        <f t="shared" si="43"/>
        <v/>
      </c>
      <c r="C823" s="183"/>
      <c r="D823" s="190"/>
      <c r="E823" s="190"/>
      <c r="F823" s="191"/>
      <c r="G823" s="481"/>
      <c r="H823" s="7"/>
      <c r="I823" s="255"/>
      <c r="J823" s="255"/>
      <c r="K823" s="37"/>
      <c r="L823" s="193"/>
      <c r="M823" s="193"/>
      <c r="N823" s="51" t="str">
        <f>IF(AND('331-CT'!$E$7=TH!H873,OR(L823="331",M823="331")),"331",IF(AND(OR(L823="131",M823="131"),H823='131-CT'!$E$7),"131",""))</f>
        <v/>
      </c>
      <c r="O823" s="891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IF(OR(TH!L873=TH!$W$7,M823=TH!$W$7),"x","")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IF(AND(OR(LEFT(TH!L873,2)="15",LEFT(TH!M873,2)="15"),'152-CT'!$J$8=TH!F873),"x","")</f>
        <v/>
      </c>
      <c r="Z823" s="51" t="str">
        <f>IF(AND(OR(LEFT(TH!L873,2)="15",LEFT(TH!M873,2)="15"),TK!$E$7=TH!F873),"x","")</f>
        <v/>
      </c>
      <c r="AA823" s="51" t="str">
        <f>IF(AND(B823&lt;=NKC!$N$8,B823&gt;=NKC!$M$8),"x","")</f>
        <v/>
      </c>
      <c r="AB823" s="923"/>
      <c r="AC823" s="589"/>
      <c r="AD823" s="589"/>
    </row>
    <row r="824" spans="1:33" s="210" customFormat="1" ht="15.75" hidden="1" customHeight="1">
      <c r="A824" s="203" t="str">
        <f>IF(B824&lt;&gt;"",IF(AND(B824&gt;=_TM1,B824&lt;=_TM2,OR(TH!L824="1111",TH!M824="1111")),TH!D824,""),"")</f>
        <v/>
      </c>
      <c r="B824" s="36" t="str">
        <f t="shared" si="43"/>
        <v/>
      </c>
      <c r="C824" s="183"/>
      <c r="D824" s="190"/>
      <c r="E824" s="190"/>
      <c r="F824" s="191"/>
      <c r="G824" s="481"/>
      <c r="H824" s="7"/>
      <c r="I824" s="255"/>
      <c r="J824" s="255"/>
      <c r="K824" s="597"/>
      <c r="L824" s="193"/>
      <c r="M824" s="193"/>
      <c r="N824" s="51" t="str">
        <f>IF(AND('331-CT'!$E$7=TH!H874,OR(L824="331",M824="331")),"331",IF(AND(OR(L824="131",M824="131"),H824='131-CT'!$E$7),"131",""))</f>
        <v/>
      </c>
      <c r="O824" s="891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IF(OR(TH!L874=TH!$W$7,M824=TH!$W$7),"x","")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IF(AND(OR(LEFT(TH!L874,2)="15",LEFT(TH!M874,2)="15"),'152-CT'!$J$8=TH!F874),"x","")</f>
        <v/>
      </c>
      <c r="Z824" s="51" t="str">
        <f>IF(AND(OR(LEFT(TH!L874,2)="15",LEFT(TH!M874,2)="15"),TK!$E$7=TH!F874),"x","")</f>
        <v/>
      </c>
      <c r="AA824" s="51" t="str">
        <f>IF(AND(B824&lt;=NKC!$N$8,B824&gt;=NKC!$M$8),"x","")</f>
        <v/>
      </c>
      <c r="AB824" s="923"/>
      <c r="AC824" s="589"/>
    </row>
    <row r="825" spans="1:33" s="210" customFormat="1" ht="15.75" hidden="1" customHeight="1">
      <c r="A825" s="203" t="str">
        <f>IF(B825&lt;&gt;"",IF(AND(B825&gt;=_TM1,B825&lt;=_TM2,OR(TH!L825="1111",TH!M825="1111")),TH!D825,""),"")</f>
        <v/>
      </c>
      <c r="B825" s="36" t="str">
        <f t="shared" si="43"/>
        <v/>
      </c>
      <c r="C825" s="183"/>
      <c r="D825" s="190"/>
      <c r="E825" s="190"/>
      <c r="F825" s="188"/>
      <c r="G825" s="481"/>
      <c r="H825" s="7"/>
      <c r="I825" s="255"/>
      <c r="J825" s="255"/>
      <c r="K825" s="37"/>
      <c r="L825" s="193"/>
      <c r="M825" s="193"/>
      <c r="N825" s="51" t="str">
        <f>IF(AND('331-CT'!$E$7=TH!H875,OR(L825="331",M825="331")),"331",IF(AND(OR(L825="131",M825="131"),H825='131-CT'!$E$7),"131",""))</f>
        <v/>
      </c>
      <c r="O825" s="891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IF(OR(TH!L875=TH!$W$7,M825=TH!$W$7),"x","")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IF(AND(OR(LEFT(TH!L875,2)="15",LEFT(TH!M875,2)="15"),'152-CT'!$J$8=TH!F875),"x","")</f>
        <v/>
      </c>
      <c r="Z825" s="51" t="str">
        <f>IF(AND(OR(LEFT(TH!L875,2)="15",LEFT(TH!M875,2)="15"),TK!$E$7=TH!F875),"x","")</f>
        <v/>
      </c>
      <c r="AA825" s="51" t="str">
        <f>IF(AND(B825&lt;=NKC!$N$8,B825&gt;=NKC!$M$8),"x","")</f>
        <v/>
      </c>
      <c r="AB825" s="923"/>
      <c r="AC825" s="589"/>
    </row>
    <row r="826" spans="1:33" s="210" customFormat="1" ht="15.75" hidden="1" customHeight="1">
      <c r="A826" s="203" t="str">
        <f>IF(B826&lt;&gt;"",IF(AND(B826&gt;=_TM1,B826&lt;=_TM2,OR(TH!L826="1111",TH!M826="1111")),TH!D826,""),"")</f>
        <v/>
      </c>
      <c r="B826" s="36" t="str">
        <f t="shared" si="43"/>
        <v/>
      </c>
      <c r="C826" s="183"/>
      <c r="D826" s="190"/>
      <c r="E826" s="190"/>
      <c r="F826" s="188"/>
      <c r="G826" s="481"/>
      <c r="H826" s="7"/>
      <c r="I826" s="255"/>
      <c r="J826" s="255"/>
      <c r="K826" s="37"/>
      <c r="L826" s="193"/>
      <c r="M826" s="193"/>
      <c r="N826" s="51" t="str">
        <f>IF(AND('331-CT'!$E$7=TH!H876,OR(L826="331",M826="331")),"331",IF(AND(OR(L826="131",M826="131"),H826='131-CT'!$E$7),"131",""))</f>
        <v/>
      </c>
      <c r="O826" s="891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IF(OR(TH!L876=TH!$W$7,M826=TH!$W$7),"x","")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IF(AND(OR(LEFT(TH!L876,2)="15",LEFT(TH!M876,2)="15"),'152-CT'!$J$8=TH!F876),"x","")</f>
        <v/>
      </c>
      <c r="Z826" s="51" t="str">
        <f>IF(AND(OR(LEFT(TH!L876,2)="15",LEFT(TH!M876,2)="15"),TK!$E$7=TH!F876),"x","")</f>
        <v/>
      </c>
      <c r="AA826" s="51" t="str">
        <f>IF(AND(B826&lt;=NKC!$N$8,B826&gt;=NKC!$M$8),"x","")</f>
        <v/>
      </c>
      <c r="AB826" s="923"/>
      <c r="AC826" s="589"/>
    </row>
    <row r="827" spans="1:33" s="210" customFormat="1" ht="15.75" hidden="1" customHeight="1">
      <c r="A827" s="203" t="str">
        <f>IF(B827&lt;&gt;"",IF(AND(B827&gt;=_TM1,B827&lt;=_TM2,OR(TH!L827="1111",TH!M827="1111")),TH!D827,""),"")</f>
        <v/>
      </c>
      <c r="B827" s="36" t="str">
        <f t="shared" si="43"/>
        <v/>
      </c>
      <c r="C827" s="183"/>
      <c r="D827" s="190"/>
      <c r="E827" s="190"/>
      <c r="F827" s="188"/>
      <c r="G827" s="481"/>
      <c r="H827" s="7"/>
      <c r="I827" s="255"/>
      <c r="J827" s="255"/>
      <c r="K827" s="597"/>
      <c r="L827" s="193"/>
      <c r="M827" s="193"/>
      <c r="N827" s="51" t="str">
        <f>IF(AND('331-CT'!$E$7=TH!H877,OR(L827="331",M827="331")),"331",IF(AND(OR(L827="131",M827="131"),H827='131-CT'!$E$7),"131",""))</f>
        <v/>
      </c>
      <c r="O827" s="891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IF(OR(TH!L877=TH!$W$7,M827=TH!$W$7),"x","")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IF(AND(OR(LEFT(TH!L877,2)="15",LEFT(TH!M877,2)="15"),'152-CT'!$J$8=TH!F877),"x","")</f>
        <v/>
      </c>
      <c r="Z827" s="51" t="str">
        <f>IF(AND(OR(LEFT(TH!L877,2)="15",LEFT(TH!M877,2)="15"),TK!$E$7=TH!F877),"x","")</f>
        <v/>
      </c>
      <c r="AA827" s="51" t="str">
        <f>IF(AND(B827&lt;=NKC!$N$8,B827&gt;=NKC!$M$8),"x","")</f>
        <v/>
      </c>
      <c r="AB827" s="923"/>
      <c r="AC827" s="589"/>
      <c r="AD827" s="589"/>
    </row>
    <row r="828" spans="1:33" s="210" customFormat="1" ht="15.75" hidden="1" customHeight="1">
      <c r="A828" s="203" t="str">
        <f>IF(B828&lt;&gt;"",IF(AND(B828&gt;=_TM1,B828&lt;=_TM2,OR(TH!L828="1111",TH!M828="1111")),TH!D828,""),"")</f>
        <v/>
      </c>
      <c r="B828" s="36" t="str">
        <f t="shared" si="43"/>
        <v/>
      </c>
      <c r="C828" s="183"/>
      <c r="D828" s="190"/>
      <c r="E828" s="183"/>
      <c r="F828" s="191"/>
      <c r="G828" s="481"/>
      <c r="H828" s="7"/>
      <c r="I828" s="255"/>
      <c r="J828" s="255"/>
      <c r="K828" s="37"/>
      <c r="L828" s="193"/>
      <c r="M828" s="193"/>
      <c r="N828" s="51" t="str">
        <f>IF(AND('331-CT'!$E$7=TH!H404,OR(L828="331",M828="331")),"331",IF(AND(OR(L828="131",M828="131"),H828='131-CT'!$E$7),"131",""))</f>
        <v/>
      </c>
      <c r="O828" s="891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IF(OR(TH!L404=TH!$W$7,M828=TH!$W$7),"x","")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IF(AND(OR(LEFT(TH!L404,2)="15",LEFT(TH!M404,2)="15"),'152-CT'!$J$8=TH!F404),"x","")</f>
        <v/>
      </c>
      <c r="Z828" s="51" t="str">
        <f>IF(AND(OR(LEFT(TH!L404,2)="15",LEFT(TH!M404,2)="15"),TK!$E$7=TH!F404),"x","")</f>
        <v/>
      </c>
      <c r="AA828" s="51" t="str">
        <f>IF(AND(B828&lt;=NKC!$N$8,B828&gt;=NKC!$M$8),"x","")</f>
        <v/>
      </c>
      <c r="AB828" s="923"/>
      <c r="AC828" s="589"/>
      <c r="AD828" s="589"/>
      <c r="AF828" s="589"/>
      <c r="AG828" s="589"/>
    </row>
    <row r="829" spans="1:33" s="210" customFormat="1" ht="15.75" hidden="1" customHeight="1">
      <c r="A829" s="203" t="str">
        <f>IF(B829&lt;&gt;"",IF(AND(B829&gt;=_TM1,B829&lt;=_TM2,OR(TH!L829="1111",TH!M829="1111")),TH!D829,""),"")</f>
        <v/>
      </c>
      <c r="B829" s="36" t="str">
        <f t="shared" si="43"/>
        <v/>
      </c>
      <c r="C829" s="183"/>
      <c r="D829" s="190"/>
      <c r="E829" s="183"/>
      <c r="F829" s="191"/>
      <c r="G829" s="481"/>
      <c r="H829" s="7"/>
      <c r="I829" s="255"/>
      <c r="J829" s="255"/>
      <c r="K829" s="597"/>
      <c r="L829" s="193"/>
      <c r="M829" s="193"/>
      <c r="N829" s="51" t="str">
        <f>IF(AND('331-CT'!$E$7=TH!H405,OR(L829="331",M829="331")),"331",IF(AND(OR(L829="131",M829="131"),H829='131-CT'!$E$7),"131",""))</f>
        <v/>
      </c>
      <c r="O829" s="891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IF(OR(TH!L405=TH!$W$7,M829=TH!$W$7),"x","")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IF(AND(OR(LEFT(TH!L405,2)="15",LEFT(TH!M405,2)="15"),'152-CT'!$J$8=TH!F405),"x","")</f>
        <v/>
      </c>
      <c r="Z829" s="51" t="str">
        <f>IF(AND(OR(LEFT(TH!L405,2)="15",LEFT(TH!M405,2)="15"),TK!$E$7=TH!F405),"x","")</f>
        <v/>
      </c>
      <c r="AA829" s="51" t="str">
        <f>IF(AND(B829&lt;=NKC!$N$8,B829&gt;=NKC!$M$8),"x","")</f>
        <v/>
      </c>
      <c r="AB829" s="923"/>
      <c r="AC829" s="589"/>
      <c r="AF829" s="589"/>
      <c r="AG829" s="589"/>
    </row>
    <row r="830" spans="1:33" s="210" customFormat="1" ht="15.75" hidden="1" customHeight="1">
      <c r="A830" s="203" t="str">
        <f>IF(B830&lt;&gt;"",IF(AND(B830&gt;=_TM1,B830&lt;=_TM2,OR(TH!L830="1111",TH!M830="1111")),TH!D830,""),"")</f>
        <v/>
      </c>
      <c r="B830" s="36" t="str">
        <f t="shared" si="43"/>
        <v/>
      </c>
      <c r="C830" s="183"/>
      <c r="D830" s="190"/>
      <c r="E830" s="190"/>
      <c r="F830" s="191"/>
      <c r="G830" s="481"/>
      <c r="H830" s="7"/>
      <c r="I830" s="255"/>
      <c r="J830" s="255"/>
      <c r="K830" s="37"/>
      <c r="L830" s="193"/>
      <c r="M830" s="193"/>
      <c r="N830" s="51" t="str">
        <f>IF(AND('331-CT'!$E$7=TH!H878,OR(L830="331",M830="331")),"331",IF(AND(OR(L830="131",M830="131"),H830='131-CT'!$E$7),"131",""))</f>
        <v/>
      </c>
      <c r="O830" s="891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IF(OR(TH!L878=TH!$W$7,M830=TH!$W$7),"x","")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IF(AND(OR(LEFT(TH!L878,2)="15",LEFT(TH!M878,2)="15"),'152-CT'!$J$8=TH!F878),"x","")</f>
        <v/>
      </c>
      <c r="Z830" s="51" t="str">
        <f>IF(AND(OR(LEFT(TH!L878,2)="15",LEFT(TH!M878,2)="15"),TK!$E$7=TH!F878),"x","")</f>
        <v/>
      </c>
      <c r="AA830" s="51" t="str">
        <f>IF(AND(B830&lt;=NKC!$N$8,B830&gt;=NKC!$M$8),"x","")</f>
        <v/>
      </c>
      <c r="AB830" s="923"/>
      <c r="AC830" s="589"/>
      <c r="AD830" s="589"/>
    </row>
    <row r="831" spans="1:33" s="210" customFormat="1" ht="15.75" hidden="1" customHeight="1">
      <c r="A831" s="203" t="str">
        <f>IF(B831&lt;&gt;"",IF(AND(B831&gt;=_TM1,B831&lt;=_TM2,OR(TH!L831="1111",TH!M831="1111")),TH!D831,""),"")</f>
        <v/>
      </c>
      <c r="B831" s="853" t="str">
        <f t="shared" si="43"/>
        <v/>
      </c>
      <c r="C831" s="854"/>
      <c r="D831" s="190"/>
      <c r="E831" s="190"/>
      <c r="F831" s="188"/>
      <c r="G831" s="481"/>
      <c r="H831" s="7"/>
      <c r="I831" s="255"/>
      <c r="J831" s="255"/>
      <c r="K831" s="37"/>
      <c r="L831" s="193"/>
      <c r="M831" s="193"/>
      <c r="N831" s="51" t="str">
        <f>IF(AND('331-CT'!$E$7=TH!H879,OR(L831="331",M831="331")),"331",IF(AND(OR(L831="131",M831="131"),H831='131-CT'!$E$7),"131",""))</f>
        <v/>
      </c>
      <c r="O831" s="891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IF(OR(TH!L879=TH!$W$7,M831=TH!$W$7),"x","")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IF(AND(OR(LEFT(TH!L879,2)="15",LEFT(TH!M879,2)="15"),'152-CT'!$J$8=TH!F879),"x","")</f>
        <v/>
      </c>
      <c r="Z831" s="51" t="str">
        <f>IF(AND(OR(LEFT(TH!L879,2)="15",LEFT(TH!M879,2)="15"),TK!$E$7=TH!F879),"x","")</f>
        <v/>
      </c>
      <c r="AA831" s="51" t="str">
        <f>IF(AND(B831&lt;=NKC!$N$8,B831&gt;=NKC!$M$8),"x","")</f>
        <v/>
      </c>
      <c r="AB831" s="923"/>
      <c r="AC831" s="861"/>
      <c r="AD831" s="862"/>
      <c r="AE831" s="862"/>
      <c r="AF831" s="862"/>
      <c r="AG831" s="862"/>
    </row>
    <row r="832" spans="1:33" s="210" customFormat="1" ht="15.75" hidden="1" customHeight="1">
      <c r="A832" s="203" t="str">
        <f>IF(B832&lt;&gt;"",IF(AND(B832&gt;=_TM1,B832&lt;=_TM2,OR(TH!L832="1111",TH!M832="1111")),TH!D832,""),"")</f>
        <v/>
      </c>
      <c r="B832" s="36" t="str">
        <f t="shared" si="43"/>
        <v/>
      </c>
      <c r="C832" s="183"/>
      <c r="D832" s="190"/>
      <c r="E832" s="183"/>
      <c r="F832" s="188"/>
      <c r="G832" s="599"/>
      <c r="H832" s="192"/>
      <c r="I832" s="255"/>
      <c r="J832" s="255"/>
      <c r="K832" s="597"/>
      <c r="L832" s="193"/>
      <c r="M832" s="193"/>
      <c r="N832" s="51" t="str">
        <f>IF(AND('331-CT'!$E$7=TH!H880,OR(L832="331",M832="331")),"331",IF(AND(OR(L832="131",M832="131"),H832='131-CT'!$E$7),"131",""))</f>
        <v/>
      </c>
      <c r="O832" s="891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IF(OR(TH!L880=TH!$W$7,M832=TH!$W$7),"x","")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IF(AND(OR(LEFT(TH!L880,2)="15",LEFT(TH!M880,2)="15"),'152-CT'!$J$8=TH!F880),"x","")</f>
        <v/>
      </c>
      <c r="Z832" s="51" t="str">
        <f>IF(AND(OR(LEFT(TH!L880,2)="15",LEFT(TH!M880,2)="15"),TK!$E$7=TH!F880),"x","")</f>
        <v/>
      </c>
      <c r="AA832" s="51" t="str">
        <f>IF(AND(B832&lt;=NKC!$N$8,B832&gt;=NKC!$M$8),"x","")</f>
        <v/>
      </c>
      <c r="AB832" s="923"/>
      <c r="AC832" s="589"/>
      <c r="AD832" s="589"/>
    </row>
    <row r="833" spans="1:33" s="210" customFormat="1" ht="15.75" hidden="1" customHeight="1">
      <c r="A833" s="203" t="str">
        <f>IF(B833&lt;&gt;"",IF(AND(B833&gt;=_TM1,B833&lt;=_TM2,OR(TH!L833="1111",TH!M833="1111")),TH!D833,""),"")</f>
        <v/>
      </c>
      <c r="B833" s="36" t="str">
        <f t="shared" si="43"/>
        <v/>
      </c>
      <c r="C833" s="183"/>
      <c r="D833" s="190"/>
      <c r="E833" s="183"/>
      <c r="F833" s="188"/>
      <c r="G833" s="599"/>
      <c r="H833" s="7"/>
      <c r="I833" s="255"/>
      <c r="J833" s="255"/>
      <c r="K833" s="37"/>
      <c r="L833" s="193"/>
      <c r="M833" s="193"/>
      <c r="N833" s="51" t="str">
        <f>IF(AND('331-CT'!$E$7=TH!H881,OR(L833="331",M833="331")),"331",IF(AND(OR(L833="131",M833="131"),H833='131-CT'!$E$7),"131",""))</f>
        <v/>
      </c>
      <c r="O833" s="891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IF(OR(TH!L881=TH!$W$7,M833=TH!$W$7),"x","")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IF(AND(OR(LEFT(TH!L881,2)="15",LEFT(TH!M881,2)="15"),'152-CT'!$J$8=TH!F881),"x","")</f>
        <v/>
      </c>
      <c r="Z833" s="51" t="str">
        <f>IF(AND(OR(LEFT(TH!L881,2)="15",LEFT(TH!M881,2)="15"),TK!$E$7=TH!F881),"x","")</f>
        <v/>
      </c>
      <c r="AA833" s="51" t="str">
        <f>IF(AND(B833&lt;=NKC!$N$8,B833&gt;=NKC!$M$8),"x","")</f>
        <v/>
      </c>
      <c r="AB833" s="923"/>
      <c r="AC833" s="589"/>
    </row>
    <row r="834" spans="1:33" s="210" customFormat="1" ht="15.75" hidden="1" customHeight="1">
      <c r="A834" s="203" t="str">
        <f>IF(B834&lt;&gt;"",IF(AND(B834&gt;=_TM1,B834&lt;=_TM2,OR(TH!L834="1111",TH!M834="1111")),TH!D834,""),"")</f>
        <v/>
      </c>
      <c r="B834" s="36" t="str">
        <f t="shared" si="43"/>
        <v/>
      </c>
      <c r="C834" s="183"/>
      <c r="D834" s="190"/>
      <c r="E834" s="190"/>
      <c r="F834" s="188"/>
      <c r="G834" s="481"/>
      <c r="H834" s="7"/>
      <c r="I834" s="255"/>
      <c r="J834" s="255"/>
      <c r="K834" s="37"/>
      <c r="L834" s="193"/>
      <c r="M834" s="193"/>
      <c r="N834" s="51" t="str">
        <f>IF(AND('331-CT'!$E$7=TH!H882,OR(L834="331",M834="331")),"331",IF(AND(OR(L834="131",M834="131"),H834='131-CT'!$E$7),"131",""))</f>
        <v/>
      </c>
      <c r="O834" s="891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IF(OR(TH!L882=TH!$W$7,M834=TH!$W$7),"x","")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IF(AND(OR(LEFT(TH!L882,2)="15",LEFT(TH!M882,2)="15"),'152-CT'!$J$8=TH!F882),"x","")</f>
        <v/>
      </c>
      <c r="Z834" s="51" t="str">
        <f>IF(AND(OR(LEFT(TH!L882,2)="15",LEFT(TH!M882,2)="15"),TK!$E$7=TH!F882),"x","")</f>
        <v/>
      </c>
      <c r="AA834" s="51" t="str">
        <f>IF(AND(B834&lt;=NKC!$N$8,B834&gt;=NKC!$M$8),"x","")</f>
        <v/>
      </c>
      <c r="AB834" s="923"/>
      <c r="AC834" s="589"/>
      <c r="AD834" s="589"/>
    </row>
    <row r="835" spans="1:33" s="210" customFormat="1" ht="15.75" hidden="1" customHeight="1">
      <c r="A835" s="203" t="str">
        <f>IF(B835&lt;&gt;"",IF(AND(B835&gt;=_TM1,B835&lt;=_TM2,OR(TH!L835="1111",TH!M835="1111")),TH!D835,""),"")</f>
        <v/>
      </c>
      <c r="B835" s="36" t="str">
        <f t="shared" si="43"/>
        <v/>
      </c>
      <c r="C835" s="183"/>
      <c r="D835" s="190"/>
      <c r="E835" s="190"/>
      <c r="F835" s="188"/>
      <c r="G835" s="481"/>
      <c r="H835" s="7"/>
      <c r="I835" s="255"/>
      <c r="J835" s="255"/>
      <c r="K835" s="37"/>
      <c r="L835" s="193"/>
      <c r="M835" s="193"/>
      <c r="N835" s="51" t="str">
        <f>IF(AND('331-CT'!$E$7=TH!H883,OR(L835="331",M835="331")),"331",IF(AND(OR(L835="131",M835="131"),H835='131-CT'!$E$7),"131",""))</f>
        <v/>
      </c>
      <c r="O835" s="891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IF(OR(TH!L883=TH!$W$7,M835=TH!$W$7),"x","")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IF(AND(OR(LEFT(TH!L883,2)="15",LEFT(TH!M883,2)="15"),'152-CT'!$J$8=TH!F883),"x","")</f>
        <v/>
      </c>
      <c r="Z835" s="51" t="str">
        <f>IF(AND(OR(LEFT(TH!L883,2)="15",LEFT(TH!M883,2)="15"),TK!$E$7=TH!F883),"x","")</f>
        <v/>
      </c>
      <c r="AA835" s="51" t="str">
        <f>IF(AND(B835&lt;=NKC!$N$8,B835&gt;=NKC!$M$8),"x","")</f>
        <v/>
      </c>
      <c r="AB835" s="923"/>
      <c r="AC835" s="589"/>
    </row>
    <row r="836" spans="1:33" s="210" customFormat="1" ht="15.75" hidden="1" customHeight="1">
      <c r="A836" s="203" t="str">
        <f>IF(B836&lt;&gt;"",IF(AND(B836&gt;=_TM1,B836&lt;=_TM2,OR(TH!L836="1111",TH!M836="1111")),TH!D836,""),"")</f>
        <v/>
      </c>
      <c r="B836" s="36" t="str">
        <f t="shared" si="43"/>
        <v/>
      </c>
      <c r="C836" s="183"/>
      <c r="D836" s="190"/>
      <c r="E836" s="190"/>
      <c r="F836" s="188"/>
      <c r="G836" s="481"/>
      <c r="H836" s="7"/>
      <c r="I836" s="255"/>
      <c r="J836" s="255"/>
      <c r="K836" s="597"/>
      <c r="L836" s="193"/>
      <c r="M836" s="193"/>
      <c r="N836" s="51" t="str">
        <f>IF(AND('331-CT'!$E$7=TH!H884,OR(L836="331",M836="331")),"331",IF(AND(OR(L836="131",M836="131"),H836='131-CT'!$E$7),"131",""))</f>
        <v/>
      </c>
      <c r="O836" s="891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IF(OR(TH!L884=TH!$W$7,M836=TH!$W$7),"x","")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IF(AND(OR(LEFT(TH!L884,2)="15",LEFT(TH!M884,2)="15"),'152-CT'!$J$8=TH!F884),"x","")</f>
        <v/>
      </c>
      <c r="Z836" s="51" t="str">
        <f>IF(AND(OR(LEFT(TH!L884,2)="15",LEFT(TH!M884,2)="15"),TK!$E$7=TH!F884),"x","")</f>
        <v/>
      </c>
      <c r="AA836" s="51" t="str">
        <f>IF(AND(B836&lt;=NKC!$N$8,B836&gt;=NKC!$M$8),"x","")</f>
        <v/>
      </c>
      <c r="AB836" s="923"/>
      <c r="AC836" s="589"/>
      <c r="AD836" s="589"/>
    </row>
    <row r="837" spans="1:33" s="210" customFormat="1" ht="15.75" hidden="1" customHeight="1">
      <c r="A837" s="203" t="str">
        <f>IF(B837&lt;&gt;"",IF(AND(B837&gt;=_TM1,B837&lt;=_TM2,OR(TH!L837="1111",TH!M837="1111")),TH!D837,""),"")</f>
        <v/>
      </c>
      <c r="B837" s="36" t="str">
        <f t="shared" ref="B837:B900" si="44">IF(C837&lt;&gt;"",MONTH(C837),"")</f>
        <v/>
      </c>
      <c r="C837" s="183"/>
      <c r="D837" s="190"/>
      <c r="E837" s="183"/>
      <c r="F837" s="191"/>
      <c r="G837" s="481"/>
      <c r="H837" s="209"/>
      <c r="I837" s="255"/>
      <c r="J837" s="255"/>
      <c r="K837" s="597"/>
      <c r="L837" s="193"/>
      <c r="M837" s="193"/>
      <c r="N837" s="51" t="str">
        <f>IF(AND('331-CT'!$E$7=TH!H406,OR(L837="331",M837="331")),"331",IF(AND(OR(L837="131",M837="131"),H837='131-CT'!$E$7),"131",""))</f>
        <v/>
      </c>
      <c r="O837" s="891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IF(OR(TH!L406=TH!$W$7,M837=TH!$W$7),"x","")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IF(AND(OR(LEFT(TH!L406,2)="15",LEFT(TH!M406,2)="15"),'152-CT'!$J$8=TH!F406),"x","")</f>
        <v/>
      </c>
      <c r="Z837" s="51" t="str">
        <f>IF(AND(OR(LEFT(TH!L406,2)="15",LEFT(TH!M406,2)="15"),TK!$E$7=TH!F406),"x","")</f>
        <v/>
      </c>
      <c r="AA837" s="51" t="str">
        <f>IF(AND(B837&lt;=NKC!$N$8,B837&gt;=NKC!$M$8),"x","")</f>
        <v/>
      </c>
      <c r="AB837" s="923"/>
      <c r="AC837" s="589"/>
      <c r="AD837" s="589"/>
      <c r="AF837" s="589"/>
      <c r="AG837" s="589"/>
    </row>
    <row r="838" spans="1:33" s="210" customFormat="1" ht="15.75" hidden="1" customHeight="1">
      <c r="A838" s="203" t="str">
        <f>IF(B838&lt;&gt;"",IF(AND(B838&gt;=_TM1,B838&lt;=_TM2,OR(TH!L838="1111",TH!M838="1111")),TH!D838,""),"")</f>
        <v/>
      </c>
      <c r="B838" s="36" t="str">
        <f t="shared" si="44"/>
        <v/>
      </c>
      <c r="C838" s="183"/>
      <c r="D838" s="190"/>
      <c r="E838" s="183"/>
      <c r="F838" s="188"/>
      <c r="G838" s="481"/>
      <c r="H838" s="209"/>
      <c r="I838" s="255"/>
      <c r="J838" s="255"/>
      <c r="K838" s="597"/>
      <c r="L838" s="193"/>
      <c r="M838" s="193"/>
      <c r="N838" s="51" t="str">
        <f>IF(AND('331-CT'!$E$7=TH!H407,OR(L838="331",M838="331")),"331",IF(AND(OR(L838="131",M838="131"),H838='131-CT'!$E$7),"131",""))</f>
        <v/>
      </c>
      <c r="O838" s="891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IF(OR(TH!L407=TH!$W$7,M838=TH!$W$7),"x","")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IF(AND(OR(LEFT(TH!L407,2)="15",LEFT(TH!M407,2)="15"),'152-CT'!$J$8=TH!F407),"x","")</f>
        <v/>
      </c>
      <c r="Z838" s="51" t="str">
        <f>IF(AND(OR(LEFT(TH!L407,2)="15",LEFT(TH!M407,2)="15"),TK!$E$7=TH!F407),"x","")</f>
        <v/>
      </c>
      <c r="AA838" s="51" t="str">
        <f>IF(AND(B838&lt;=NKC!$N$8,B838&gt;=NKC!$M$8),"x","")</f>
        <v/>
      </c>
      <c r="AB838" s="923"/>
      <c r="AC838" s="589"/>
      <c r="AD838" s="589"/>
      <c r="AF838" s="589"/>
      <c r="AG838" s="589"/>
    </row>
    <row r="839" spans="1:33" s="210" customFormat="1" ht="15.75" hidden="1" customHeight="1">
      <c r="A839" s="203" t="str">
        <f>IF(B839&lt;&gt;"",IF(AND(B839&gt;=_TM1,B839&lt;=_TM2,OR(TH!L839="1111",TH!M839="1111")),TH!D839,""),"")</f>
        <v/>
      </c>
      <c r="B839" s="853" t="str">
        <f t="shared" si="44"/>
        <v/>
      </c>
      <c r="C839" s="854"/>
      <c r="D839" s="190"/>
      <c r="E839" s="183"/>
      <c r="F839" s="191"/>
      <c r="G839" s="481"/>
      <c r="H839" s="209"/>
      <c r="I839" s="255"/>
      <c r="J839" s="255"/>
      <c r="K839" s="597"/>
      <c r="L839" s="193"/>
      <c r="M839" s="193"/>
      <c r="N839" s="51" t="str">
        <f>IF(AND('331-CT'!$E$7=TH!H408,OR(L839="331",M839="331")),"331",IF(AND(OR(L839="131",M839="131"),H839='131-CT'!$E$7),"131",""))</f>
        <v/>
      </c>
      <c r="O839" s="891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IF(OR(TH!L408=TH!$W$7,M839=TH!$W$7),"x","")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IF(AND(OR(LEFT(TH!L408,2)="15",LEFT(TH!M408,2)="15"),'152-CT'!$J$8=TH!F408),"x","")</f>
        <v/>
      </c>
      <c r="Z839" s="51" t="str">
        <f>IF(AND(OR(LEFT(TH!L408,2)="15",LEFT(TH!M408,2)="15"),TK!$E$7=TH!F408),"x","")</f>
        <v/>
      </c>
      <c r="AA839" s="51" t="str">
        <f>IF(AND(B839&lt;=NKC!$N$8,B839&gt;=NKC!$M$8),"x","")</f>
        <v/>
      </c>
      <c r="AB839" s="923"/>
      <c r="AC839" s="861"/>
      <c r="AD839" s="862"/>
      <c r="AE839" s="862"/>
      <c r="AF839" s="861"/>
      <c r="AG839" s="861"/>
    </row>
    <row r="840" spans="1:33" s="210" customFormat="1" ht="15.75" hidden="1" customHeight="1">
      <c r="A840" s="203" t="str">
        <f>IF(B840&lt;&gt;"",IF(AND(B840&gt;=_TM1,B840&lt;=_TM2,OR(TH!L840="1111",TH!M840="1111")),TH!D840,""),"")</f>
        <v/>
      </c>
      <c r="B840" s="36" t="str">
        <f t="shared" si="44"/>
        <v/>
      </c>
      <c r="C840" s="183"/>
      <c r="D840" s="190"/>
      <c r="E840" s="183"/>
      <c r="F840" s="188"/>
      <c r="G840" s="481"/>
      <c r="H840" s="209"/>
      <c r="I840" s="255"/>
      <c r="J840" s="255"/>
      <c r="K840" s="597"/>
      <c r="L840" s="193"/>
      <c r="M840" s="193"/>
      <c r="N840" s="51" t="str">
        <f>IF(AND('331-CT'!$E$7=TH!H409,OR(L840="331",M840="331")),"331",IF(AND(OR(L840="131",M840="131"),H840='131-CT'!$E$7),"131",""))</f>
        <v/>
      </c>
      <c r="O840" s="891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IF(OR(TH!L409=TH!$W$7,M840=TH!$W$7),"x","")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IF(AND(OR(LEFT(TH!L409,2)="15",LEFT(TH!M409,2)="15"),'152-CT'!$J$8=TH!F409),"x","")</f>
        <v/>
      </c>
      <c r="Z840" s="51" t="str">
        <f>IF(AND(OR(LEFT(TH!L409,2)="15",LEFT(TH!M409,2)="15"),TK!$E$7=TH!F409),"x","")</f>
        <v/>
      </c>
      <c r="AA840" s="51" t="str">
        <f>IF(AND(B840&lt;=NKC!$N$8,B840&gt;=NKC!$M$8),"x","")</f>
        <v/>
      </c>
      <c r="AB840" s="923"/>
      <c r="AC840" s="589"/>
      <c r="AD840" s="589"/>
      <c r="AF840" s="589"/>
      <c r="AG840" s="589"/>
    </row>
    <row r="841" spans="1:33" s="210" customFormat="1" ht="15.75" hidden="1" customHeight="1">
      <c r="A841" s="203" t="str">
        <f>IF(B841&lt;&gt;"",IF(AND(B841&gt;=_TM1,B841&lt;=_TM2,OR(TH!L841="1111",TH!M841="1111")),TH!D841,""),"")</f>
        <v/>
      </c>
      <c r="B841" s="36" t="str">
        <f t="shared" si="44"/>
        <v/>
      </c>
      <c r="C841" s="183"/>
      <c r="D841" s="190"/>
      <c r="E841" s="190"/>
      <c r="F841" s="191"/>
      <c r="G841" s="481"/>
      <c r="H841" s="901"/>
      <c r="I841" s="255"/>
      <c r="J841" s="255"/>
      <c r="K841" s="37"/>
      <c r="L841" s="193"/>
      <c r="M841" s="193"/>
      <c r="N841" s="51" t="str">
        <f>IF(AND('331-CT'!$E$7=TH!H885,OR(L841="331",M841="331")),"331",IF(AND(OR(L841="131",M841="131"),H841='131-CT'!$E$7),"131",""))</f>
        <v/>
      </c>
      <c r="O841" s="891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IF(OR(TH!L885=TH!$W$7,M841=TH!$W$7),"x","")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IF(AND(OR(LEFT(TH!L885,2)="15",LEFT(TH!M885,2)="15"),'152-CT'!$J$8=TH!F885),"x","")</f>
        <v/>
      </c>
      <c r="Z841" s="51" t="str">
        <f>IF(AND(OR(LEFT(TH!L885,2)="15",LEFT(TH!M885,2)="15"),TK!$E$7=TH!F885),"x","")</f>
        <v/>
      </c>
      <c r="AA841" s="51" t="str">
        <f>IF(AND(B841&lt;=NKC!$N$8,B841&gt;=NKC!$M$8),"x","")</f>
        <v/>
      </c>
      <c r="AB841" s="923"/>
      <c r="AC841" s="589"/>
      <c r="AD841" s="589"/>
    </row>
    <row r="842" spans="1:33" s="210" customFormat="1" ht="15.75" hidden="1" customHeight="1">
      <c r="A842" s="203" t="str">
        <f>IF(B842&lt;&gt;"",IF(AND(B842&gt;=_TM1,B842&lt;=_TM2,OR(TH!L842="1111",TH!M842="1111")),TH!D842,""),"")</f>
        <v/>
      </c>
      <c r="B842" s="36" t="str">
        <f t="shared" si="44"/>
        <v/>
      </c>
      <c r="C842" s="183"/>
      <c r="D842" s="190"/>
      <c r="E842" s="190"/>
      <c r="F842" s="188"/>
      <c r="G842" s="481"/>
      <c r="H842" s="901"/>
      <c r="I842" s="255"/>
      <c r="J842" s="255"/>
      <c r="K842" s="597"/>
      <c r="L842" s="193"/>
      <c r="M842" s="193"/>
      <c r="N842" s="51" t="str">
        <f>IF(AND('331-CT'!$E$7=TH!H886,OR(L842="331",M842="331")),"331",IF(AND(OR(L842="131",M842="131"),H842='131-CT'!$E$7),"131",""))</f>
        <v/>
      </c>
      <c r="O842" s="891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IF(OR(TH!L886=TH!$W$7,M842=TH!$W$7),"x","")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IF(AND(OR(LEFT(TH!L886,2)="15",LEFT(TH!M886,2)="15"),'152-CT'!$J$8=TH!F886),"x","")</f>
        <v/>
      </c>
      <c r="Z842" s="51" t="str">
        <f>IF(AND(OR(LEFT(TH!L886,2)="15",LEFT(TH!M886,2)="15"),TK!$E$7=TH!F886),"x","")</f>
        <v/>
      </c>
      <c r="AA842" s="51" t="str">
        <f>IF(AND(B842&lt;=NKC!$N$8,B842&gt;=NKC!$M$8),"x","")</f>
        <v/>
      </c>
      <c r="AB842" s="923"/>
      <c r="AC842" s="589"/>
    </row>
    <row r="843" spans="1:33" s="210" customFormat="1" ht="15.75" hidden="1" customHeight="1">
      <c r="A843" s="203" t="str">
        <f>IF(B843&lt;&gt;"",IF(AND(B843&gt;=_TM1,B843&lt;=_TM2,OR(TH!L843="1111",TH!M843="1111")),TH!D843,""),"")</f>
        <v/>
      </c>
      <c r="B843" s="36" t="str">
        <f t="shared" si="44"/>
        <v/>
      </c>
      <c r="C843" s="183"/>
      <c r="D843" s="190"/>
      <c r="E843" s="190"/>
      <c r="F843" s="191"/>
      <c r="G843" s="481"/>
      <c r="H843" s="7"/>
      <c r="I843" s="255"/>
      <c r="J843" s="255"/>
      <c r="K843" s="37"/>
      <c r="L843" s="193"/>
      <c r="M843" s="193"/>
      <c r="N843" s="51" t="str">
        <f>IF(AND('331-CT'!$E$7=TH!H887,OR(L843="331",M843="331")),"331",IF(AND(OR(L843="131",M843="131"),H843='131-CT'!$E$7),"131",""))</f>
        <v/>
      </c>
      <c r="O843" s="891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IF(OR(TH!L887=TH!$W$7,M843=TH!$W$7),"x","")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IF(AND(OR(LEFT(TH!L887,2)="15",LEFT(TH!M887,2)="15"),'152-CT'!$J$8=TH!F887),"x","")</f>
        <v/>
      </c>
      <c r="Z843" s="51" t="str">
        <f>IF(AND(OR(LEFT(TH!L887,2)="15",LEFT(TH!M887,2)="15"),TK!$E$7=TH!F887),"x","")</f>
        <v/>
      </c>
      <c r="AA843" s="51" t="str">
        <f>IF(AND(B843&lt;=NKC!$N$8,B843&gt;=NKC!$M$8),"x","")</f>
        <v/>
      </c>
      <c r="AB843" s="923"/>
      <c r="AC843" s="589"/>
      <c r="AD843" s="589"/>
    </row>
    <row r="844" spans="1:33" s="210" customFormat="1" ht="15.75" hidden="1" customHeight="1">
      <c r="A844" s="203" t="str">
        <f>IF(B844&lt;&gt;"",IF(AND(B844&gt;=_TM1,B844&lt;=_TM2,OR(TH!L844="1111",TH!M844="1111")),TH!D844,""),"")</f>
        <v/>
      </c>
      <c r="B844" s="36" t="str">
        <f t="shared" si="44"/>
        <v/>
      </c>
      <c r="C844" s="183"/>
      <c r="D844" s="190"/>
      <c r="E844" s="190"/>
      <c r="F844" s="191"/>
      <c r="G844" s="481"/>
      <c r="H844" s="7"/>
      <c r="I844" s="255"/>
      <c r="J844" s="255"/>
      <c r="K844" s="597"/>
      <c r="L844" s="193"/>
      <c r="M844" s="193"/>
      <c r="N844" s="51" t="str">
        <f>IF(AND('331-CT'!$E$7=TH!H888,OR(L844="331",M844="331")),"331",IF(AND(OR(L844="131",M844="131"),H844='131-CT'!$E$7),"131",""))</f>
        <v/>
      </c>
      <c r="O844" s="891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IF(OR(TH!L888=TH!$W$7,M844=TH!$W$7),"x","")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IF(AND(OR(LEFT(TH!L888,2)="15",LEFT(TH!M888,2)="15"),'152-CT'!$J$8=TH!F888),"x","")</f>
        <v/>
      </c>
      <c r="Z844" s="51" t="str">
        <f>IF(AND(OR(LEFT(TH!L888,2)="15",LEFT(TH!M888,2)="15"),TK!$E$7=TH!F888),"x","")</f>
        <v/>
      </c>
      <c r="AA844" s="51" t="str">
        <f>IF(AND(B844&lt;=NKC!$N$8,B844&gt;=NKC!$M$8),"x","")</f>
        <v/>
      </c>
      <c r="AB844" s="923"/>
      <c r="AC844" s="589"/>
      <c r="AD844" s="589"/>
    </row>
    <row r="845" spans="1:33" s="210" customFormat="1" ht="15.75" hidden="1" customHeight="1">
      <c r="A845" s="203" t="str">
        <f>IF(B845&lt;&gt;"",IF(AND(B845&gt;=_TM1,B845&lt;=_TM2,OR(TH!L845="1111",TH!M845="1111")),TH!D845,""),"")</f>
        <v/>
      </c>
      <c r="B845" s="36" t="str">
        <f t="shared" si="44"/>
        <v/>
      </c>
      <c r="C845" s="183"/>
      <c r="D845" s="190"/>
      <c r="E845" s="190"/>
      <c r="F845" s="191"/>
      <c r="G845" s="481"/>
      <c r="H845" s="7"/>
      <c r="I845" s="255"/>
      <c r="J845" s="255"/>
      <c r="K845" s="37"/>
      <c r="L845" s="193"/>
      <c r="M845" s="193"/>
      <c r="N845" s="51" t="str">
        <f>IF(AND('331-CT'!$E$7=TH!H889,OR(L845="331",M845="331")),"331",IF(AND(OR(L845="131",M845="131"),H845='131-CT'!$E$7),"131",""))</f>
        <v/>
      </c>
      <c r="O845" s="891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IF(OR(TH!L889=TH!$W$7,M845=TH!$W$7),"x","")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IF(AND(OR(LEFT(TH!L889,2)="15",LEFT(TH!M889,2)="15"),'152-CT'!$J$8=TH!F889),"x","")</f>
        <v/>
      </c>
      <c r="Z845" s="51" t="str">
        <f>IF(AND(OR(LEFT(TH!L889,2)="15",LEFT(TH!M889,2)="15"),TK!$E$7=TH!F889),"x","")</f>
        <v/>
      </c>
      <c r="AA845" s="51" t="str">
        <f>IF(AND(B845&lt;=NKC!$N$8,B845&gt;=NKC!$M$8),"x","")</f>
        <v/>
      </c>
      <c r="AB845" s="923"/>
      <c r="AC845" s="589"/>
    </row>
    <row r="846" spans="1:33" s="210" customFormat="1" ht="15.75" hidden="1" customHeight="1">
      <c r="A846" s="203" t="str">
        <f>IF(B846&lt;&gt;"",IF(AND(B846&gt;=_TM1,B846&lt;=_TM2,OR(TH!L846="1111",TH!M846="1111")),TH!D846,""),"")</f>
        <v/>
      </c>
      <c r="B846" s="36" t="str">
        <f t="shared" si="44"/>
        <v/>
      </c>
      <c r="C846" s="183"/>
      <c r="D846" s="190"/>
      <c r="E846" s="190"/>
      <c r="F846" s="188"/>
      <c r="G846" s="481"/>
      <c r="H846" s="7"/>
      <c r="I846" s="255"/>
      <c r="J846" s="255"/>
      <c r="K846" s="37"/>
      <c r="L846" s="193"/>
      <c r="M846" s="193"/>
      <c r="N846" s="51" t="str">
        <f>IF(AND('331-CT'!$E$7=TH!H890,OR(L846="331",M846="331")),"331",IF(AND(OR(L846="131",M846="131"),H846='131-CT'!$E$7),"131",""))</f>
        <v/>
      </c>
      <c r="O846" s="891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IF(OR(TH!L890=TH!$W$7,M846=TH!$W$7),"x","")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IF(AND(OR(LEFT(TH!L890,2)="15",LEFT(TH!M890,2)="15"),'152-CT'!$J$8=TH!F890),"x","")</f>
        <v/>
      </c>
      <c r="Z846" s="51" t="str">
        <f>IF(AND(OR(LEFT(TH!L890,2)="15",LEFT(TH!M890,2)="15"),TK!$E$7=TH!F890),"x","")</f>
        <v/>
      </c>
      <c r="AA846" s="51" t="str">
        <f>IF(AND(B846&lt;=NKC!$N$8,B846&gt;=NKC!$M$8),"x","")</f>
        <v/>
      </c>
      <c r="AB846" s="923"/>
      <c r="AC846" s="589"/>
      <c r="AD846" s="589"/>
    </row>
    <row r="847" spans="1:33" s="210" customFormat="1" ht="15.75" hidden="1" customHeight="1">
      <c r="A847" s="203" t="str">
        <f>IF(B847&lt;&gt;"",IF(AND(B847&gt;=_TM1,B847&lt;=_TM2,OR(TH!L847="1111",TH!M847="1111")),TH!D847,""),"")</f>
        <v/>
      </c>
      <c r="B847" s="36" t="str">
        <f t="shared" si="44"/>
        <v/>
      </c>
      <c r="C847" s="183"/>
      <c r="D847" s="190"/>
      <c r="E847" s="183"/>
      <c r="F847" s="188"/>
      <c r="G847" s="599"/>
      <c r="H847" s="7"/>
      <c r="I847" s="255"/>
      <c r="J847" s="255"/>
      <c r="K847" s="597"/>
      <c r="L847" s="193"/>
      <c r="M847" s="193"/>
      <c r="N847" s="51" t="str">
        <f>IF(AND('331-CT'!$E$7=TH!H891,OR(L847="331",M847="331")),"331",IF(AND(OR(L847="131",M847="131"),H847='131-CT'!$E$7),"131",""))</f>
        <v/>
      </c>
      <c r="O847" s="891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IF(OR(TH!L891=TH!$W$7,M847=TH!$W$7),"x","")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IF(AND(OR(LEFT(TH!L891,2)="15",LEFT(TH!M891,2)="15"),'152-CT'!$J$8=TH!F891),"x","")</f>
        <v/>
      </c>
      <c r="Z847" s="51" t="str">
        <f>IF(AND(OR(LEFT(TH!L891,2)="15",LEFT(TH!M891,2)="15"),TK!$E$7=TH!F891),"x","")</f>
        <v/>
      </c>
      <c r="AA847" s="51" t="str">
        <f>IF(AND(B847&lt;=NKC!$N$8,B847&gt;=NKC!$M$8),"x","")</f>
        <v/>
      </c>
      <c r="AB847" s="923"/>
      <c r="AC847" s="589"/>
      <c r="AD847" s="589"/>
    </row>
    <row r="848" spans="1:33" s="210" customFormat="1" ht="15.75" hidden="1" customHeight="1">
      <c r="A848" s="203" t="str">
        <f>IF(B848&lt;&gt;"",IF(AND(B848&gt;=_TM1,B848&lt;=_TM2,OR(TH!L848="1111",TH!M848="1111")),TH!D848,""),"")</f>
        <v/>
      </c>
      <c r="B848" s="36" t="str">
        <f t="shared" si="44"/>
        <v/>
      </c>
      <c r="C848" s="183"/>
      <c r="D848" s="190"/>
      <c r="E848" s="190"/>
      <c r="F848" s="191"/>
      <c r="G848" s="481"/>
      <c r="H848" s="192"/>
      <c r="I848" s="255"/>
      <c r="J848" s="255"/>
      <c r="K848" s="37"/>
      <c r="L848" s="193"/>
      <c r="M848" s="193"/>
      <c r="N848" s="51" t="str">
        <f>IF(AND('331-CT'!$E$7=TH!H892,OR(L848="331",M848="331")),"331",IF(AND(OR(L848="131",M848="131"),H848='131-CT'!$E$7),"131",""))</f>
        <v/>
      </c>
      <c r="O848" s="891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IF(OR(TH!L892=TH!$W$7,M848=TH!$W$7),"x","")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IF(AND(OR(LEFT(TH!L892,2)="15",LEFT(TH!M892,2)="15"),'152-CT'!$J$8=TH!F892),"x","")</f>
        <v/>
      </c>
      <c r="Z848" s="51" t="str">
        <f>IF(AND(OR(LEFT(TH!L892,2)="15",LEFT(TH!M892,2)="15"),TK!$E$7=TH!F892),"x","")</f>
        <v/>
      </c>
      <c r="AA848" s="51" t="str">
        <f>IF(AND(B848&lt;=NKC!$N$8,B848&gt;=NKC!$M$8),"x","")</f>
        <v/>
      </c>
      <c r="AB848" s="923"/>
      <c r="AC848" s="589"/>
      <c r="AD848" s="589"/>
    </row>
    <row r="849" spans="1:30" s="210" customFormat="1" ht="15.75" hidden="1" customHeight="1">
      <c r="A849" s="203" t="str">
        <f>IF(B849&lt;&gt;"",IF(AND(B849&gt;=_TM1,B849&lt;=_TM2,OR(TH!L849="1111",TH!M849="1111")),TH!D849,""),"")</f>
        <v/>
      </c>
      <c r="B849" s="36" t="str">
        <f t="shared" si="44"/>
        <v/>
      </c>
      <c r="C849" s="183"/>
      <c r="D849" s="190"/>
      <c r="E849" s="190"/>
      <c r="F849" s="191"/>
      <c r="G849" s="481"/>
      <c r="H849" s="192"/>
      <c r="I849" s="256"/>
      <c r="J849" s="256"/>
      <c r="K849" s="37"/>
      <c r="L849" s="193"/>
      <c r="M849" s="193"/>
      <c r="N849" s="51" t="str">
        <f>IF(AND('331-CT'!$E$7=TH!H893,OR(L849="331",M849="331")),"331",IF(AND(OR(L849="131",M849="131"),H849='131-CT'!$E$7),"131",""))</f>
        <v/>
      </c>
      <c r="O849" s="891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IF(OR(TH!L893=TH!$W$7,M849=TH!$W$7),"x","")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IF(AND(OR(LEFT(TH!L893,2)="15",LEFT(TH!M893,2)="15"),'152-CT'!$J$8=TH!F893),"x","")</f>
        <v/>
      </c>
      <c r="Z849" s="51" t="str">
        <f>IF(AND(OR(LEFT(TH!L893,2)="15",LEFT(TH!M893,2)="15"),TK!$E$7=TH!F893),"x","")</f>
        <v/>
      </c>
      <c r="AA849" s="51" t="str">
        <f>IF(AND(B849&lt;=NKC!$N$8,B849&gt;=NKC!$M$8),"x","")</f>
        <v/>
      </c>
      <c r="AB849" s="923"/>
      <c r="AC849" s="589"/>
      <c r="AD849" s="589"/>
    </row>
    <row r="850" spans="1:30" s="210" customFormat="1" ht="15.75" hidden="1" customHeight="1">
      <c r="A850" s="203" t="str">
        <f>IF(B850&lt;&gt;"",IF(AND(B850&gt;=_TM1,B850&lt;=_TM2,OR(TH!L850="1111",TH!M850="1111")),TH!D850,""),"")</f>
        <v/>
      </c>
      <c r="B850" s="36" t="str">
        <f t="shared" si="44"/>
        <v/>
      </c>
      <c r="C850" s="183"/>
      <c r="D850" s="190"/>
      <c r="E850" s="190"/>
      <c r="F850" s="191"/>
      <c r="G850" s="481"/>
      <c r="H850" s="192"/>
      <c r="I850" s="255"/>
      <c r="J850" s="255"/>
      <c r="K850" s="37"/>
      <c r="L850" s="193"/>
      <c r="M850" s="193"/>
      <c r="N850" s="51" t="str">
        <f>IF(AND('331-CT'!$E$7=TH!H894,OR(L850="331",M850="331")),"331",IF(AND(OR(L850="131",M850="131"),H850='131-CT'!$E$7),"131",""))</f>
        <v/>
      </c>
      <c r="O850" s="891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IF(OR(TH!L894=TH!$W$7,M850=TH!$W$7),"x","")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IF(AND(OR(LEFT(TH!L894,2)="15",LEFT(TH!M894,2)="15"),'152-CT'!$J$8=TH!F894),"x","")</f>
        <v/>
      </c>
      <c r="Z850" s="51" t="str">
        <f>IF(AND(OR(LEFT(TH!L894,2)="15",LEFT(TH!M894,2)="15"),TK!$E$7=TH!F894),"x","")</f>
        <v/>
      </c>
      <c r="AA850" s="51" t="str">
        <f>IF(AND(B850&lt;=NKC!$N$8,B850&gt;=NKC!$M$8),"x","")</f>
        <v/>
      </c>
      <c r="AB850" s="923"/>
      <c r="AC850" s="589"/>
      <c r="AD850" s="589"/>
    </row>
    <row r="851" spans="1:30" s="210" customFormat="1" ht="15.75" hidden="1" customHeight="1">
      <c r="A851" s="203" t="str">
        <f>IF(B851&lt;&gt;"",IF(AND(B851&gt;=_TM1,B851&lt;=_TM2,OR(TH!L851="1111",TH!M851="1111")),TH!D851,""),"")</f>
        <v/>
      </c>
      <c r="B851" s="36" t="str">
        <f t="shared" si="44"/>
        <v/>
      </c>
      <c r="C851" s="183"/>
      <c r="D851" s="190"/>
      <c r="E851" s="190"/>
      <c r="F851" s="191"/>
      <c r="G851" s="481"/>
      <c r="H851" s="192"/>
      <c r="I851" s="256"/>
      <c r="J851" s="256"/>
      <c r="K851" s="597"/>
      <c r="L851" s="193"/>
      <c r="M851" s="193"/>
      <c r="N851" s="51" t="str">
        <f>IF(AND('331-CT'!$E$7=TH!H895,OR(L851="331",M851="331")),"331",IF(AND(OR(L851="131",M851="131"),H851='131-CT'!$E$7),"131",""))</f>
        <v/>
      </c>
      <c r="O851" s="891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IF(OR(TH!L895=TH!$W$7,M851=TH!$W$7),"x","")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IF(AND(OR(LEFT(TH!L895,2)="15",LEFT(TH!M895,2)="15"),'152-CT'!$J$8=TH!F895),"x","")</f>
        <v/>
      </c>
      <c r="Z851" s="51" t="str">
        <f>IF(AND(OR(LEFT(TH!L895,2)="15",LEFT(TH!M895,2)="15"),TK!$E$7=TH!F895),"x","")</f>
        <v/>
      </c>
      <c r="AA851" s="51" t="str">
        <f>IF(AND(B851&lt;=NKC!$N$8,B851&gt;=NKC!$M$8),"x","")</f>
        <v/>
      </c>
      <c r="AB851" s="923"/>
      <c r="AC851" s="589"/>
      <c r="AD851" s="589"/>
    </row>
    <row r="852" spans="1:30" s="210" customFormat="1" ht="15.75" hidden="1" customHeight="1">
      <c r="A852" s="203" t="str">
        <f>IF(B852&lt;&gt;"",IF(AND(B852&gt;=_TM1,B852&lt;=_TM2,OR(TH!L852="1111",TH!M852="1111")),TH!D852,""),"")</f>
        <v/>
      </c>
      <c r="B852" s="36" t="str">
        <f t="shared" si="44"/>
        <v/>
      </c>
      <c r="C852" s="183"/>
      <c r="D852" s="190"/>
      <c r="E852" s="190"/>
      <c r="F852" s="191"/>
      <c r="G852" s="481"/>
      <c r="H852" s="192"/>
      <c r="I852" s="255"/>
      <c r="J852" s="255"/>
      <c r="K852" s="37"/>
      <c r="L852" s="193"/>
      <c r="M852" s="193"/>
      <c r="N852" s="51" t="str">
        <f>IF(AND('331-CT'!$E$7=TH!H896,OR(L852="331",M852="331")),"331",IF(AND(OR(L852="131",M852="131"),H852='131-CT'!$E$7),"131",""))</f>
        <v/>
      </c>
      <c r="O852" s="891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IF(OR(TH!L896=TH!$W$7,M852=TH!$W$7),"x","")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IF(AND(OR(LEFT(TH!L896,2)="15",LEFT(TH!M896,2)="15"),'152-CT'!$J$8=TH!F896),"x","")</f>
        <v/>
      </c>
      <c r="Z852" s="51" t="str">
        <f>IF(AND(OR(LEFT(TH!L896,2)="15",LEFT(TH!M896,2)="15"),TK!$E$7=TH!F896),"x","")</f>
        <v/>
      </c>
      <c r="AA852" s="51" t="str">
        <f>IF(AND(B852&lt;=NKC!$N$8,B852&gt;=NKC!$M$8),"x","")</f>
        <v/>
      </c>
      <c r="AB852" s="923"/>
      <c r="AC852" s="589"/>
    </row>
    <row r="853" spans="1:30" s="210" customFormat="1" ht="15.75" hidden="1" customHeight="1">
      <c r="A853" s="203" t="str">
        <f>IF(B853&lt;&gt;"",IF(AND(B853&gt;=_TM1,B853&lt;=_TM2,OR(TH!L853="1111",TH!M853="1111")),TH!D853,""),"")</f>
        <v/>
      </c>
      <c r="B853" s="36" t="str">
        <f t="shared" si="44"/>
        <v/>
      </c>
      <c r="C853" s="183"/>
      <c r="D853" s="190"/>
      <c r="E853" s="190"/>
      <c r="F853" s="191"/>
      <c r="G853" s="481"/>
      <c r="H853" s="192"/>
      <c r="I853" s="256"/>
      <c r="J853" s="256"/>
      <c r="K853" s="37"/>
      <c r="L853" s="193"/>
      <c r="M853" s="193"/>
      <c r="N853" s="51" t="str">
        <f>IF(AND('331-CT'!$E$7=TH!H897,OR(L853="331",M853="331")),"331",IF(AND(OR(L853="131",M853="131"),H853='131-CT'!$E$7),"131",""))</f>
        <v/>
      </c>
      <c r="O853" s="891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IF(OR(TH!L897=TH!$W$7,M853=TH!$W$7),"x","")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IF(AND(OR(LEFT(TH!L897,2)="15",LEFT(TH!M897,2)="15"),'152-CT'!$J$8=TH!F897),"x","")</f>
        <v/>
      </c>
      <c r="Z853" s="51" t="str">
        <f>IF(AND(OR(LEFT(TH!L897,2)="15",LEFT(TH!M897,2)="15"),TK!$E$7=TH!F897),"x","")</f>
        <v/>
      </c>
      <c r="AA853" s="51" t="str">
        <f>IF(AND(B853&lt;=NKC!$N$8,B853&gt;=NKC!$M$8),"x","")</f>
        <v/>
      </c>
      <c r="AB853" s="923"/>
      <c r="AC853" s="589"/>
      <c r="AD853" s="589"/>
    </row>
    <row r="854" spans="1:30" s="210" customFormat="1" ht="15.75" hidden="1" customHeight="1">
      <c r="A854" s="203" t="str">
        <f>IF(B854&lt;&gt;"",IF(AND(B854&gt;=_TM1,B854&lt;=_TM2,OR(TH!L854="1111",TH!M854="1111")),TH!D854,""),"")</f>
        <v/>
      </c>
      <c r="B854" s="36" t="str">
        <f t="shared" si="44"/>
        <v/>
      </c>
      <c r="C854" s="183"/>
      <c r="D854" s="190"/>
      <c r="E854" s="190"/>
      <c r="F854" s="191"/>
      <c r="G854" s="481"/>
      <c r="H854" s="192"/>
      <c r="I854" s="255"/>
      <c r="J854" s="255"/>
      <c r="K854" s="597"/>
      <c r="L854" s="193"/>
      <c r="M854" s="193"/>
      <c r="N854" s="51" t="str">
        <f>IF(AND('331-CT'!$E$7=TH!H898,OR(L854="331",M854="331")),"331",IF(AND(OR(L854="131",M854="131"),H854='131-CT'!$E$7),"131",""))</f>
        <v/>
      </c>
      <c r="O854" s="891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IF(OR(TH!L898=TH!$W$7,M854=TH!$W$7),"x","")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IF(AND(OR(LEFT(TH!L898,2)="15",LEFT(TH!M898,2)="15"),'152-CT'!$J$8=TH!F898),"x","")</f>
        <v/>
      </c>
      <c r="Z854" s="51" t="str">
        <f>IF(AND(OR(LEFT(TH!L898,2)="15",LEFT(TH!M898,2)="15"),TK!$E$7=TH!F898),"x","")</f>
        <v/>
      </c>
      <c r="AA854" s="51" t="str">
        <f>IF(AND(B854&lt;=NKC!$N$8,B854&gt;=NKC!$M$8),"x","")</f>
        <v/>
      </c>
      <c r="AB854" s="923"/>
      <c r="AC854" s="589"/>
      <c r="AD854" s="589"/>
    </row>
    <row r="855" spans="1:30" s="210" customFormat="1" ht="15.75" hidden="1" customHeight="1">
      <c r="A855" s="203" t="str">
        <f>IF(B855&lt;&gt;"",IF(AND(B855&gt;=_TM1,B855&lt;=_TM2,OR(TH!L855="1111",TH!M855="1111")),TH!D855,""),"")</f>
        <v/>
      </c>
      <c r="B855" s="36" t="str">
        <f t="shared" si="44"/>
        <v/>
      </c>
      <c r="C855" s="183"/>
      <c r="D855" s="190"/>
      <c r="E855" s="190"/>
      <c r="F855" s="191"/>
      <c r="G855" s="481"/>
      <c r="H855" s="192"/>
      <c r="I855" s="256"/>
      <c r="J855" s="256"/>
      <c r="K855" s="37"/>
      <c r="L855" s="193"/>
      <c r="M855" s="193"/>
      <c r="N855" s="51" t="str">
        <f>IF(AND('331-CT'!$E$7=TH!H899,OR(L855="331",M855="331")),"331",IF(AND(OR(L855="131",M855="131"),H855='131-CT'!$E$7),"131",""))</f>
        <v/>
      </c>
      <c r="O855" s="891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IF(OR(TH!L899=TH!$W$7,M855=TH!$W$7),"x","")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IF(AND(OR(LEFT(TH!L899,2)="15",LEFT(TH!M899,2)="15"),'152-CT'!$J$8=TH!F899),"x","")</f>
        <v/>
      </c>
      <c r="Z855" s="51" t="str">
        <f>IF(AND(OR(LEFT(TH!L899,2)="15",LEFT(TH!M899,2)="15"),TK!$E$7=TH!F899),"x","")</f>
        <v/>
      </c>
      <c r="AA855" s="51" t="str">
        <f>IF(AND(B855&lt;=NKC!$N$8,B855&gt;=NKC!$M$8),"x","")</f>
        <v/>
      </c>
      <c r="AB855" s="923"/>
      <c r="AC855" s="589"/>
    </row>
    <row r="856" spans="1:30" s="210" customFormat="1" ht="15.75" hidden="1" customHeight="1">
      <c r="A856" s="203" t="str">
        <f>IF(B856&lt;&gt;"",IF(AND(B856&gt;=_TM1,B856&lt;=_TM2,OR(TH!L856="1111",TH!M856="1111")),TH!D856,""),"")</f>
        <v/>
      </c>
      <c r="B856" s="36" t="str">
        <f t="shared" si="44"/>
        <v/>
      </c>
      <c r="C856" s="183"/>
      <c r="D856" s="190"/>
      <c r="E856" s="190"/>
      <c r="F856" s="191"/>
      <c r="G856" s="481"/>
      <c r="H856" s="192"/>
      <c r="I856" s="255"/>
      <c r="J856" s="255"/>
      <c r="K856" s="37"/>
      <c r="L856" s="193"/>
      <c r="M856" s="193"/>
      <c r="N856" s="51" t="str">
        <f>IF(AND('331-CT'!$E$7=TH!H900,OR(L856="331",M856="331")),"331",IF(AND(OR(L856="131",M856="131"),H856='131-CT'!$E$7),"131",""))</f>
        <v/>
      </c>
      <c r="O856" s="891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IF(OR(TH!L900=TH!$W$7,M856=TH!$W$7),"x","")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IF(AND(OR(LEFT(TH!L900,2)="15",LEFT(TH!M900,2)="15"),'152-CT'!$J$8=TH!F900),"x","")</f>
        <v/>
      </c>
      <c r="Z856" s="51" t="str">
        <f>IF(AND(OR(LEFT(TH!L900,2)="15",LEFT(TH!M900,2)="15"),TK!$E$7=TH!F900),"x","")</f>
        <v/>
      </c>
      <c r="AA856" s="51" t="str">
        <f>IF(AND(B856&lt;=NKC!$N$8,B856&gt;=NKC!$M$8),"x","")</f>
        <v/>
      </c>
      <c r="AB856" s="923"/>
      <c r="AC856" s="589"/>
      <c r="AD856" s="589"/>
    </row>
    <row r="857" spans="1:30" s="210" customFormat="1" ht="15.75" hidden="1" customHeight="1">
      <c r="A857" s="203" t="str">
        <f>IF(B857&lt;&gt;"",IF(AND(B857&gt;=_TM1,B857&lt;=_TM2,OR(TH!L857="1111",TH!M857="1111")),TH!D857,""),"")</f>
        <v/>
      </c>
      <c r="B857" s="36" t="str">
        <f t="shared" si="44"/>
        <v/>
      </c>
      <c r="C857" s="183"/>
      <c r="D857" s="190"/>
      <c r="E857" s="190"/>
      <c r="F857" s="188"/>
      <c r="G857" s="481"/>
      <c r="H857" s="7"/>
      <c r="I857" s="255"/>
      <c r="J857" s="255"/>
      <c r="K857" s="37"/>
      <c r="L857" s="193"/>
      <c r="M857" s="193"/>
      <c r="N857" s="51" t="str">
        <f>IF(AND('331-CT'!$E$7=TH!H901,OR(L857="331",M857="331")),"331",IF(AND(OR(L857="131",M857="131"),H857='131-CT'!$E$7),"131",""))</f>
        <v/>
      </c>
      <c r="O857" s="891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IF(OR(TH!L901=TH!$W$7,M857=TH!$W$7),"x","")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IF(AND(OR(LEFT(TH!L901,2)="15",LEFT(TH!M901,2)="15"),'152-CT'!$J$8=TH!F901),"x","")</f>
        <v/>
      </c>
      <c r="Z857" s="51" t="str">
        <f>IF(AND(OR(LEFT(TH!L901,2)="15",LEFT(TH!M901,2)="15"),TK!$E$7=TH!F901),"x","")</f>
        <v/>
      </c>
      <c r="AA857" s="51" t="str">
        <f>IF(AND(B857&lt;=NKC!$N$8,B857&gt;=NKC!$M$8),"x","")</f>
        <v/>
      </c>
      <c r="AB857" s="923"/>
      <c r="AC857" s="589"/>
    </row>
    <row r="858" spans="1:30" s="210" customFormat="1" ht="15.75" hidden="1" customHeight="1">
      <c r="A858" s="203" t="str">
        <f>IF(B858&lt;&gt;"",IF(AND(B858&gt;=_TM1,B858&lt;=_TM2,OR(TH!L858="1111",TH!M858="1111")),TH!D858,""),"")</f>
        <v/>
      </c>
      <c r="B858" s="36" t="str">
        <f t="shared" si="44"/>
        <v/>
      </c>
      <c r="C858" s="183"/>
      <c r="D858" s="190"/>
      <c r="E858" s="190"/>
      <c r="F858" s="188"/>
      <c r="G858" s="481"/>
      <c r="H858" s="7"/>
      <c r="I858" s="255"/>
      <c r="J858" s="255"/>
      <c r="K858" s="37"/>
      <c r="L858" s="193"/>
      <c r="M858" s="193"/>
      <c r="N858" s="51" t="str">
        <f>IF(AND('331-CT'!$E$7=TH!H902,OR(L858="331",M858="331")),"331",IF(AND(OR(L858="131",M858="131"),H858='131-CT'!$E$7),"131",""))</f>
        <v/>
      </c>
      <c r="O858" s="891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IF(OR(TH!L902=TH!$W$7,M858=TH!$W$7),"x","")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IF(AND(OR(LEFT(TH!L902,2)="15",LEFT(TH!M902,2)="15"),'152-CT'!$J$8=TH!F902),"x","")</f>
        <v/>
      </c>
      <c r="Z858" s="51" t="str">
        <f>IF(AND(OR(LEFT(TH!L902,2)="15",LEFT(TH!M902,2)="15"),TK!$E$7=TH!F902),"x","")</f>
        <v/>
      </c>
      <c r="AA858" s="51" t="str">
        <f>IF(AND(B858&lt;=NKC!$N$8,B858&gt;=NKC!$M$8),"x","")</f>
        <v/>
      </c>
      <c r="AB858" s="923"/>
      <c r="AC858" s="589"/>
      <c r="AD858" s="589"/>
    </row>
    <row r="859" spans="1:30" s="210" customFormat="1" ht="15.75" hidden="1" customHeight="1">
      <c r="A859" s="203" t="str">
        <f>IF(B859&lt;&gt;"",IF(AND(B859&gt;=_TM1,B859&lt;=_TM2,OR(TH!L859="1111",TH!M859="1111")),TH!D859,""),"")</f>
        <v/>
      </c>
      <c r="B859" s="36" t="str">
        <f t="shared" si="44"/>
        <v/>
      </c>
      <c r="C859" s="183"/>
      <c r="D859" s="190"/>
      <c r="E859" s="190"/>
      <c r="F859" s="188"/>
      <c r="G859" s="481"/>
      <c r="H859" s="7"/>
      <c r="I859" s="255"/>
      <c r="J859" s="255"/>
      <c r="K859" s="597"/>
      <c r="L859" s="193"/>
      <c r="M859" s="193"/>
      <c r="N859" s="51" t="str">
        <f>IF(AND('331-CT'!$E$7=TH!H903,OR(L859="331",M859="331")),"331",IF(AND(OR(L859="131",M859="131"),H859='131-CT'!$E$7),"131",""))</f>
        <v/>
      </c>
      <c r="O859" s="891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IF(OR(TH!L903=TH!$W$7,M859=TH!$W$7),"x","")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IF(AND(OR(LEFT(TH!L903,2)="15",LEFT(TH!M903,2)="15"),'152-CT'!$J$8=TH!F903),"x","")</f>
        <v/>
      </c>
      <c r="Z859" s="51" t="str">
        <f>IF(AND(OR(LEFT(TH!L903,2)="15",LEFT(TH!M903,2)="15"),TK!$E$7=TH!F903),"x","")</f>
        <v/>
      </c>
      <c r="AA859" s="51" t="str">
        <f>IF(AND(B859&lt;=NKC!$N$8,B859&gt;=NKC!$M$8),"x","")</f>
        <v/>
      </c>
      <c r="AB859" s="923"/>
      <c r="AC859" s="589"/>
      <c r="AD859" s="589"/>
    </row>
    <row r="860" spans="1:30" s="210" customFormat="1" ht="15.75" hidden="1" customHeight="1">
      <c r="A860" s="203" t="str">
        <f>IF(B860&lt;&gt;"",IF(AND(B860&gt;=_TM1,B860&lt;=_TM2,OR(TH!L860="1111",TH!M860="1111")),TH!D860,""),"")</f>
        <v/>
      </c>
      <c r="B860" s="36" t="str">
        <f t="shared" si="44"/>
        <v/>
      </c>
      <c r="C860" s="183"/>
      <c r="D860" s="190"/>
      <c r="E860" s="912"/>
      <c r="F860" s="913"/>
      <c r="G860" s="914"/>
      <c r="H860" s="192"/>
      <c r="I860" s="915"/>
      <c r="J860" s="915"/>
      <c r="K860" s="916"/>
      <c r="L860" s="917"/>
      <c r="M860" s="917"/>
      <c r="N860" s="51" t="str">
        <f>IF(AND('331-CT'!$E$7=TH!H904,OR(L860="331",M860="331")),"331",IF(AND(OR(L860="131",M860="131"),H860='131-CT'!$E$7),"131",""))</f>
        <v/>
      </c>
      <c r="O860" s="891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IF(OR(TH!L904=TH!$W$7,M860=TH!$W$7),"x","")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IF(AND(OR(LEFT(TH!L904,2)="15",LEFT(TH!M904,2)="15"),'152-CT'!$J$8=TH!F904),"x","")</f>
        <v/>
      </c>
      <c r="Z860" s="51" t="str">
        <f>IF(AND(OR(LEFT(TH!L904,2)="15",LEFT(TH!M904,2)="15"),TK!$E$7=TH!F904),"x","")</f>
        <v/>
      </c>
      <c r="AA860" s="51" t="str">
        <f>IF(AND(B860&lt;=NKC!$N$8,B860&gt;=NKC!$M$8),"x","")</f>
        <v/>
      </c>
      <c r="AB860" s="926"/>
      <c r="AC860" s="589"/>
    </row>
    <row r="861" spans="1:30" s="210" customFormat="1" ht="15.75" hidden="1" customHeight="1">
      <c r="A861" s="203" t="str">
        <f>IF(B861&lt;&gt;"",IF(AND(B861&gt;=_TM1,B861&lt;=_TM2,OR(TH!L861="1111",TH!M861="1111")),TH!D861,""),"")</f>
        <v/>
      </c>
      <c r="B861" s="36" t="str">
        <f t="shared" si="44"/>
        <v/>
      </c>
      <c r="C861" s="183"/>
      <c r="D861" s="190"/>
      <c r="E861" s="912"/>
      <c r="F861" s="918"/>
      <c r="G861" s="914"/>
      <c r="H861" s="192"/>
      <c r="I861" s="915"/>
      <c r="J861" s="915"/>
      <c r="K861" s="916"/>
      <c r="L861" s="917"/>
      <c r="M861" s="917"/>
      <c r="N861" s="51" t="str">
        <f>IF(AND('331-CT'!$E$7=TH!H905,OR(L861="331",M861="331")),"331",IF(AND(OR(L861="131",M861="131"),H861='131-CT'!$E$7),"131",""))</f>
        <v/>
      </c>
      <c r="O861" s="891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IF(OR(TH!L905=TH!$W$7,M861=TH!$W$7),"x","")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IF(AND(OR(LEFT(TH!L905,2)="15",LEFT(TH!M905,2)="15"),'152-CT'!$J$8=TH!F905),"x","")</f>
        <v/>
      </c>
      <c r="Z861" s="51" t="str">
        <f>IF(AND(OR(LEFT(TH!L905,2)="15",LEFT(TH!M905,2)="15"),TK!$E$7=TH!F905),"x","")</f>
        <v/>
      </c>
      <c r="AA861" s="51" t="str">
        <f>IF(AND(B861&lt;=NKC!$N$8,B861&gt;=NKC!$M$8),"x","")</f>
        <v/>
      </c>
      <c r="AB861" s="926"/>
      <c r="AC861" s="589"/>
      <c r="AD861" s="589"/>
    </row>
    <row r="862" spans="1:30" s="210" customFormat="1" ht="15.75" hidden="1" customHeight="1">
      <c r="A862" s="203" t="str">
        <f>IF(B862&lt;&gt;"",IF(AND(B862&gt;=_TM1,B862&lt;=_TM2,OR(TH!L862="1111",TH!M862="1111")),TH!D862,""),"")</f>
        <v/>
      </c>
      <c r="B862" s="36" t="str">
        <f t="shared" si="44"/>
        <v/>
      </c>
      <c r="C862" s="183"/>
      <c r="D862" s="190"/>
      <c r="E862" s="912"/>
      <c r="F862" s="919"/>
      <c r="G862" s="914"/>
      <c r="H862" s="192"/>
      <c r="I862" s="915"/>
      <c r="J862" s="915"/>
      <c r="K862" s="916"/>
      <c r="L862" s="917"/>
      <c r="M862" s="917"/>
      <c r="N862" s="51" t="str">
        <f>IF(AND('331-CT'!$E$7=TH!H906,OR(L862="331",M862="331")),"331",IF(AND(OR(L862="131",M862="131"),H862='131-CT'!$E$7),"131",""))</f>
        <v/>
      </c>
      <c r="O862" s="891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IF(OR(TH!L906=TH!$W$7,M862=TH!$W$7),"x","")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IF(AND(OR(LEFT(TH!L906,2)="15",LEFT(TH!M906,2)="15"),'152-CT'!$J$8=TH!F906),"x","")</f>
        <v/>
      </c>
      <c r="Z862" s="51" t="str">
        <f>IF(AND(OR(LEFT(TH!L906,2)="15",LEFT(TH!M906,2)="15"),TK!$E$7=TH!F906),"x","")</f>
        <v/>
      </c>
      <c r="AA862" s="51" t="str">
        <f>IF(AND(B862&lt;=NKC!$N$8,B862&gt;=NKC!$M$8),"x","")</f>
        <v/>
      </c>
      <c r="AB862" s="926"/>
      <c r="AC862" s="589"/>
    </row>
    <row r="863" spans="1:30" s="210" customFormat="1" ht="15.75" hidden="1" customHeight="1">
      <c r="A863" s="203" t="str">
        <f>IF(B863&lt;&gt;"",IF(AND(B863&gt;=_TM1,B863&lt;=_TM2,OR(TH!L863="1111",TH!M863="1111")),TH!D863,""),"")</f>
        <v/>
      </c>
      <c r="B863" s="36" t="str">
        <f t="shared" si="44"/>
        <v/>
      </c>
      <c r="C863" s="183"/>
      <c r="D863" s="190"/>
      <c r="E863" s="190"/>
      <c r="F863" s="188"/>
      <c r="G863" s="481"/>
      <c r="H863" s="192"/>
      <c r="I863" s="255"/>
      <c r="J863" s="255"/>
      <c r="K863" s="597"/>
      <c r="L863" s="193"/>
      <c r="M863" s="193"/>
      <c r="N863" s="51" t="str">
        <f>IF(AND('331-CT'!$E$7=TH!H907,OR(L863="331",M863="331")),"331",IF(AND(OR(L863="131",M863="131"),H863='131-CT'!$E$7),"131",""))</f>
        <v/>
      </c>
      <c r="O863" s="891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IF(OR(TH!L907=TH!$W$7,M863=TH!$W$7),"x","")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IF(AND(OR(LEFT(TH!L907,2)="15",LEFT(TH!M907,2)="15"),'152-CT'!$J$8=TH!F907),"x","")</f>
        <v/>
      </c>
      <c r="Z863" s="51" t="str">
        <f>IF(AND(OR(LEFT(TH!L907,2)="15",LEFT(TH!M907,2)="15"),TK!$E$7=TH!F907),"x","")</f>
        <v/>
      </c>
      <c r="AA863" s="51" t="str">
        <f>IF(AND(B863&lt;=NKC!$N$8,B863&gt;=NKC!$M$8),"x","")</f>
        <v/>
      </c>
      <c r="AB863" s="923"/>
      <c r="AC863" s="589"/>
      <c r="AD863" s="589"/>
    </row>
    <row r="864" spans="1:30" s="210" customFormat="1" ht="15.75" hidden="1" customHeight="1">
      <c r="A864" s="203" t="str">
        <f>IF(B864&lt;&gt;"",IF(AND(B864&gt;=_TM1,B864&lt;=_TM2,OR(TH!L864="1111",TH!M864="1111")),TH!D864,""),"")</f>
        <v/>
      </c>
      <c r="B864" s="36" t="str">
        <f t="shared" si="44"/>
        <v/>
      </c>
      <c r="C864" s="183"/>
      <c r="D864" s="190"/>
      <c r="E864" s="190"/>
      <c r="F864" s="188"/>
      <c r="G864" s="481"/>
      <c r="H864" s="192"/>
      <c r="I864" s="255"/>
      <c r="J864" s="255"/>
      <c r="K864" s="37"/>
      <c r="L864" s="193"/>
      <c r="M864" s="193"/>
      <c r="N864" s="51" t="str">
        <f>IF(AND('331-CT'!$E$7=TH!H908,OR(L864="331",M864="331")),"331",IF(AND(OR(L864="131",M864="131"),H864='131-CT'!$E$7),"131",""))</f>
        <v/>
      </c>
      <c r="O864" s="891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IF(OR(TH!L908=TH!$W$7,M864=TH!$W$7),"x","")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IF(AND(OR(LEFT(TH!L908,2)="15",LEFT(TH!M908,2)="15"),'152-CT'!$J$8=TH!F908),"x","")</f>
        <v/>
      </c>
      <c r="Z864" s="51" t="str">
        <f>IF(AND(OR(LEFT(TH!L908,2)="15",LEFT(TH!M908,2)="15"),TK!$E$7=TH!F908),"x","")</f>
        <v/>
      </c>
      <c r="AA864" s="51" t="str">
        <f>IF(AND(B864&lt;=NKC!$N$8,B864&gt;=NKC!$M$8),"x","")</f>
        <v/>
      </c>
      <c r="AB864" s="923"/>
      <c r="AC864" s="589"/>
      <c r="AD864" s="589"/>
    </row>
    <row r="865" spans="1:33" s="210" customFormat="1" ht="15.75" hidden="1" customHeight="1">
      <c r="A865" s="203" t="str">
        <f>IF(B865&lt;&gt;"",IF(AND(B865&gt;=_TM1,B865&lt;=_TM2,OR(TH!L865="1111",TH!M865="1111")),TH!D865,""),"")</f>
        <v/>
      </c>
      <c r="B865" s="36" t="str">
        <f t="shared" si="44"/>
        <v/>
      </c>
      <c r="C865" s="183"/>
      <c r="D865" s="190"/>
      <c r="E865" s="190"/>
      <c r="F865" s="191"/>
      <c r="G865" s="481"/>
      <c r="H865" s="192"/>
      <c r="I865" s="256"/>
      <c r="J865" s="256"/>
      <c r="K865" s="37"/>
      <c r="L865" s="193"/>
      <c r="M865" s="193"/>
      <c r="N865" s="51" t="str">
        <f>IF(AND('331-CT'!$E$7=TH!H909,OR(L865="331",M865="331")),"331",IF(AND(OR(L865="131",M865="131"),H865='131-CT'!$E$7),"131",""))</f>
        <v/>
      </c>
      <c r="O865" s="891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IF(OR(TH!L909=TH!$W$7,M865=TH!$W$7),"x","")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IF(AND(OR(LEFT(TH!L909,2)="15",LEFT(TH!M909,2)="15"),'152-CT'!$J$8=TH!F909),"x","")</f>
        <v/>
      </c>
      <c r="Z865" s="51" t="str">
        <f>IF(AND(OR(LEFT(TH!L909,2)="15",LEFT(TH!M909,2)="15"),TK!$E$7=TH!F909),"x","")</f>
        <v/>
      </c>
      <c r="AA865" s="51" t="str">
        <f>IF(AND(B865&lt;=NKC!$N$8,B865&gt;=NKC!$M$8),"x","")</f>
        <v/>
      </c>
      <c r="AB865" s="923"/>
      <c r="AC865" s="589"/>
      <c r="AD865" s="589"/>
    </row>
    <row r="866" spans="1:33" s="210" customFormat="1" ht="15.75" hidden="1" customHeight="1">
      <c r="A866" s="203" t="str">
        <f>IF(B866&lt;&gt;"",IF(AND(B866&gt;=_TM1,B866&lt;=_TM2,OR(TH!L866="1111",TH!M866="1111")),TH!D866,""),"")</f>
        <v/>
      </c>
      <c r="B866" s="36" t="str">
        <f t="shared" si="44"/>
        <v/>
      </c>
      <c r="C866" s="183"/>
      <c r="D866" s="190"/>
      <c r="E866" s="190"/>
      <c r="F866" s="188"/>
      <c r="G866" s="481"/>
      <c r="H866" s="192"/>
      <c r="I866" s="255"/>
      <c r="J866" s="255"/>
      <c r="K866" s="37"/>
      <c r="L866" s="193"/>
      <c r="M866" s="193"/>
      <c r="N866" s="51" t="str">
        <f>IF(AND('331-CT'!$E$7=TH!H910,OR(L866="331",M866="331")),"331",IF(AND(OR(L866="131",M866="131"),H866='131-CT'!$E$7),"131",""))</f>
        <v/>
      </c>
      <c r="O866" s="891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IF(OR(TH!L910=TH!$W$7,M866=TH!$W$7),"x","")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IF(AND(OR(LEFT(TH!L910,2)="15",LEFT(TH!M910,2)="15"),'152-CT'!$J$8=TH!F910),"x","")</f>
        <v/>
      </c>
      <c r="Z866" s="51" t="str">
        <f>IF(AND(OR(LEFT(TH!L910,2)="15",LEFT(TH!M910,2)="15"),TK!$E$7=TH!F910),"x","")</f>
        <v/>
      </c>
      <c r="AA866" s="51" t="str">
        <f>IF(AND(B866&lt;=NKC!$N$8,B866&gt;=NKC!$M$8),"x","")</f>
        <v/>
      </c>
      <c r="AB866" s="923"/>
      <c r="AC866" s="589"/>
      <c r="AD866" s="589"/>
    </row>
    <row r="867" spans="1:33" s="210" customFormat="1" ht="15.75" hidden="1" customHeight="1">
      <c r="A867" s="203" t="str">
        <f>IF(B867&lt;&gt;"",IF(AND(B867&gt;=_TM1,B867&lt;=_TM2,OR(TH!L867="1111",TH!M867="1111")),TH!D867,""),"")</f>
        <v/>
      </c>
      <c r="B867" s="36" t="str">
        <f t="shared" si="44"/>
        <v/>
      </c>
      <c r="C867" s="183"/>
      <c r="D867" s="190"/>
      <c r="E867" s="190"/>
      <c r="F867" s="188"/>
      <c r="G867" s="481"/>
      <c r="H867" s="192"/>
      <c r="I867" s="255"/>
      <c r="J867" s="255"/>
      <c r="K867" s="37"/>
      <c r="L867" s="193"/>
      <c r="M867" s="193"/>
      <c r="N867" s="51" t="str">
        <f>IF(AND('331-CT'!$E$7=TH!H911,OR(L867="331",M867="331")),"331",IF(AND(OR(L867="131",M867="131"),H867='131-CT'!$E$7),"131",""))</f>
        <v/>
      </c>
      <c r="O867" s="891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IF(OR(TH!L911=TH!$W$7,M867=TH!$W$7),"x","")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IF(AND(OR(LEFT(TH!L911,2)="15",LEFT(TH!M911,2)="15"),'152-CT'!$J$8=TH!F911),"x","")</f>
        <v/>
      </c>
      <c r="Z867" s="51" t="str">
        <f>IF(AND(OR(LEFT(TH!L911,2)="15",LEFT(TH!M911,2)="15"),TK!$E$7=TH!F911),"x","")</f>
        <v/>
      </c>
      <c r="AA867" s="51" t="str">
        <f>IF(AND(B867&lt;=NKC!$N$8,B867&gt;=NKC!$M$8),"x","")</f>
        <v/>
      </c>
      <c r="AB867" s="923"/>
      <c r="AC867" s="589"/>
      <c r="AD867" s="589"/>
    </row>
    <row r="868" spans="1:33" s="210" customFormat="1" ht="15.75" hidden="1" customHeight="1">
      <c r="A868" s="203" t="str">
        <f>IF(B868&lt;&gt;"",IF(AND(B868&gt;=_TM1,B868&lt;=_TM2,OR(TH!L868="1111",TH!M868="1111")),TH!D868,""),"")</f>
        <v/>
      </c>
      <c r="B868" s="36" t="str">
        <f t="shared" si="44"/>
        <v/>
      </c>
      <c r="C868" s="183"/>
      <c r="D868" s="190"/>
      <c r="E868" s="183"/>
      <c r="F868" s="188"/>
      <c r="G868" s="599"/>
      <c r="H868" s="192"/>
      <c r="I868" s="255"/>
      <c r="J868" s="255"/>
      <c r="K868" s="597"/>
      <c r="L868" s="193"/>
      <c r="M868" s="193"/>
      <c r="N868" s="51" t="str">
        <f>IF(AND('331-CT'!$E$7=TH!H912,OR(L868="331",M868="331")),"331",IF(AND(OR(L868="131",M868="131"),H868='131-CT'!$E$7),"131",""))</f>
        <v/>
      </c>
      <c r="O868" s="891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IF(OR(TH!L912=TH!$W$7,M868=TH!$W$7),"x","")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IF(AND(OR(LEFT(TH!L912,2)="15",LEFT(TH!M912,2)="15"),'152-CT'!$J$8=TH!F912),"x","")</f>
        <v/>
      </c>
      <c r="Z868" s="51" t="str">
        <f>IF(AND(OR(LEFT(TH!L912,2)="15",LEFT(TH!M912,2)="15"),TK!$E$7=TH!F912),"x","")</f>
        <v/>
      </c>
      <c r="AA868" s="51" t="str">
        <f>IF(AND(B868&lt;=NKC!$N$8,B868&gt;=NKC!$M$8),"x","")</f>
        <v/>
      </c>
      <c r="AB868" s="923"/>
      <c r="AC868" s="589"/>
      <c r="AD868" s="589"/>
    </row>
    <row r="869" spans="1:33" s="210" customFormat="1" ht="15.75" hidden="1" customHeight="1">
      <c r="A869" s="203" t="str">
        <f>IF(B869&lt;&gt;"",IF(AND(B869&gt;=_TM1,B869&lt;=_TM2,OR(TH!L869="1111",TH!M869="1111")),TH!D869,""),"")</f>
        <v/>
      </c>
      <c r="B869" s="36" t="str">
        <f t="shared" si="44"/>
        <v/>
      </c>
      <c r="C869" s="183"/>
      <c r="D869" s="190"/>
      <c r="E869" s="183"/>
      <c r="F869" s="188"/>
      <c r="G869" s="481"/>
      <c r="H869" s="192"/>
      <c r="I869" s="255"/>
      <c r="J869" s="255"/>
      <c r="K869" s="597"/>
      <c r="L869" s="193"/>
      <c r="M869" s="193"/>
      <c r="N869" s="51" t="str">
        <f>IF(AND('331-CT'!$E$7=TH!H410,OR(L869="331",M869="331")),"331",IF(AND(OR(L869="131",M869="131"),H869='131-CT'!$E$7),"131",""))</f>
        <v/>
      </c>
      <c r="O869" s="891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IF(OR(TH!L410=TH!$W$7,M869=TH!$W$7),"x","")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IF(AND(OR(LEFT(TH!L410,2)="15",LEFT(TH!M410,2)="15"),'152-CT'!$J$8=TH!F410),"x","")</f>
        <v/>
      </c>
      <c r="Z869" s="51" t="str">
        <f>IF(AND(OR(LEFT(TH!L410,2)="15",LEFT(TH!M410,2)="15"),TK!$E$7=TH!F410),"x","")</f>
        <v/>
      </c>
      <c r="AA869" s="51" t="str">
        <f>IF(AND(B869&lt;=NKC!$N$8,B869&gt;=NKC!$M$8),"x","")</f>
        <v/>
      </c>
      <c r="AB869" s="923"/>
      <c r="AC869" s="589"/>
      <c r="AF869" s="589"/>
      <c r="AG869" s="589"/>
    </row>
    <row r="870" spans="1:33" s="210" customFormat="1" ht="15.75" hidden="1" customHeight="1">
      <c r="A870" s="203" t="str">
        <f>IF(B870&lt;&gt;"",IF(AND(B870&gt;=_TM1,B870&lt;=_TM2,OR(TH!L870="1111",TH!M870="1111")),TH!D870,""),"")</f>
        <v/>
      </c>
      <c r="B870" s="36" t="str">
        <f t="shared" si="44"/>
        <v/>
      </c>
      <c r="C870" s="183"/>
      <c r="D870" s="190"/>
      <c r="E870" s="183"/>
      <c r="F870" s="191"/>
      <c r="G870" s="481"/>
      <c r="H870" s="192"/>
      <c r="I870" s="255"/>
      <c r="J870" s="255"/>
      <c r="K870" s="597"/>
      <c r="L870" s="193"/>
      <c r="M870" s="193"/>
      <c r="N870" s="51" t="str">
        <f>IF(AND('331-CT'!$E$7=TH!H411,OR(L870="331",M870="331")),"331",IF(AND(OR(L870="131",M870="131"),H870='131-CT'!$E$7),"131",""))</f>
        <v/>
      </c>
      <c r="O870" s="891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IF(OR(TH!L411=TH!$W$7,M870=TH!$W$7),"x","")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IF(AND(OR(LEFT(TH!L411,2)="15",LEFT(TH!M411,2)="15"),'152-CT'!$J$8=TH!F411),"x","")</f>
        <v/>
      </c>
      <c r="Z870" s="51" t="str">
        <f>IF(AND(OR(LEFT(TH!L411,2)="15",LEFT(TH!M411,2)="15"),TK!$E$7=TH!F411),"x","")</f>
        <v/>
      </c>
      <c r="AA870" s="51" t="str">
        <f>IF(AND(B870&lt;=NKC!$N$8,B870&gt;=NKC!$M$8),"x","")</f>
        <v/>
      </c>
      <c r="AB870" s="923"/>
      <c r="AC870" s="589"/>
      <c r="AD870" s="589"/>
      <c r="AF870" s="589"/>
      <c r="AG870" s="589"/>
    </row>
    <row r="871" spans="1:33" s="210" customFormat="1" ht="15.75" hidden="1" customHeight="1">
      <c r="A871" s="203" t="str">
        <f>IF(B871&lt;&gt;"",IF(AND(B871&gt;=_TM1,B871&lt;=_TM2,OR(TH!L871="1111",TH!M871="1111")),TH!D871,""),"")</f>
        <v/>
      </c>
      <c r="B871" s="36" t="str">
        <f t="shared" si="44"/>
        <v/>
      </c>
      <c r="C871" s="183"/>
      <c r="D871" s="190"/>
      <c r="E871" s="912"/>
      <c r="F871" s="919"/>
      <c r="G871" s="914"/>
      <c r="H871" s="192"/>
      <c r="I871" s="920"/>
      <c r="J871" s="920"/>
      <c r="K871" s="916"/>
      <c r="L871" s="917"/>
      <c r="M871" s="917"/>
      <c r="N871" s="51" t="str">
        <f>IF(AND('331-CT'!$E$7=TH!H913,OR(L871="331",M871="331")),"331",IF(AND(OR(L871="131",M871="131"),H871='131-CT'!$E$7),"131",""))</f>
        <v/>
      </c>
      <c r="O871" s="891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IF(OR(TH!L913=TH!$W$7,M871=TH!$W$7),"x","")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IF(AND(OR(LEFT(TH!L913,2)="15",LEFT(TH!M913,2)="15"),'152-CT'!$J$8=TH!F913),"x","")</f>
        <v/>
      </c>
      <c r="Z871" s="51" t="str">
        <f>IF(AND(OR(LEFT(TH!L913,2)="15",LEFT(TH!M913,2)="15"),TK!$E$7=TH!F913),"x","")</f>
        <v/>
      </c>
      <c r="AA871" s="51" t="str">
        <f>IF(AND(B871&lt;=NKC!$N$8,B871&gt;=NKC!$M$8),"x","")</f>
        <v/>
      </c>
      <c r="AB871" s="926"/>
      <c r="AC871" s="589"/>
      <c r="AD871" s="589"/>
    </row>
    <row r="872" spans="1:33" s="210" customFormat="1" ht="15.75" hidden="1" customHeight="1">
      <c r="A872" s="203" t="str">
        <f>IF(B872&lt;&gt;"",IF(AND(B872&gt;=_TM1,B872&lt;=_TM2,OR(TH!L872="1111",TH!M872="1111")),TH!D872,""),"")</f>
        <v/>
      </c>
      <c r="B872" s="36" t="str">
        <f t="shared" si="44"/>
        <v/>
      </c>
      <c r="C872" s="183"/>
      <c r="D872" s="190"/>
      <c r="E872" s="912"/>
      <c r="F872" s="919"/>
      <c r="G872" s="914"/>
      <c r="H872" s="192"/>
      <c r="I872" s="920"/>
      <c r="J872" s="920"/>
      <c r="K872" s="916"/>
      <c r="L872" s="917"/>
      <c r="M872" s="917"/>
      <c r="N872" s="51" t="str">
        <f>IF(AND('331-CT'!$E$7=TH!H914,OR(L872="331",M872="331")),"331",IF(AND(OR(L872="131",M872="131"),H872='131-CT'!$E$7),"131",""))</f>
        <v/>
      </c>
      <c r="O872" s="891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IF(OR(TH!L914=TH!$W$7,M872=TH!$W$7),"x","")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IF(AND(OR(LEFT(TH!L914,2)="15",LEFT(TH!M914,2)="15"),'152-CT'!$J$8=TH!F914),"x","")</f>
        <v/>
      </c>
      <c r="Z872" s="51" t="str">
        <f>IF(AND(OR(LEFT(TH!L914,2)="15",LEFT(TH!M914,2)="15"),TK!$E$7=TH!F914),"x","")</f>
        <v/>
      </c>
      <c r="AA872" s="51" t="str">
        <f>IF(AND(B872&lt;=NKC!$N$8,B872&gt;=NKC!$M$8),"x","")</f>
        <v/>
      </c>
      <c r="AB872" s="926"/>
      <c r="AC872" s="589"/>
      <c r="AD872" s="589"/>
    </row>
    <row r="873" spans="1:33" s="210" customFormat="1" ht="15.75" hidden="1" customHeight="1">
      <c r="A873" s="203" t="str">
        <f>IF(B873&lt;&gt;"",IF(AND(B873&gt;=_TM1,B873&lt;=_TM2,OR(TH!L873="1111",TH!M873="1111")),TH!D873,""),"")</f>
        <v/>
      </c>
      <c r="B873" s="36" t="str">
        <f t="shared" si="44"/>
        <v/>
      </c>
      <c r="C873" s="183"/>
      <c r="D873" s="190"/>
      <c r="E873" s="912"/>
      <c r="F873" s="919"/>
      <c r="G873" s="914"/>
      <c r="H873" s="192"/>
      <c r="I873" s="920"/>
      <c r="J873" s="920"/>
      <c r="K873" s="916"/>
      <c r="L873" s="917"/>
      <c r="M873" s="917"/>
      <c r="N873" s="51" t="str">
        <f>IF(AND('331-CT'!$E$7=TH!H915,OR(L873="331",M873="331")),"331",IF(AND(OR(L873="131",M873="131"),H873='131-CT'!$E$7),"131",""))</f>
        <v/>
      </c>
      <c r="O873" s="891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IF(OR(TH!L915=TH!$W$7,M873=TH!$W$7),"x","")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IF(AND(OR(LEFT(TH!L915,2)="15",LEFT(TH!M915,2)="15"),'152-CT'!$J$8=TH!F915),"x","")</f>
        <v/>
      </c>
      <c r="Z873" s="51" t="str">
        <f>IF(AND(OR(LEFT(TH!L915,2)="15",LEFT(TH!M915,2)="15"),TK!$E$7=TH!F915),"x","")</f>
        <v/>
      </c>
      <c r="AA873" s="51" t="str">
        <f>IF(AND(B873&lt;=NKC!$N$8,B873&gt;=NKC!$M$8),"x","")</f>
        <v/>
      </c>
      <c r="AB873" s="926"/>
      <c r="AC873" s="589"/>
      <c r="AD873" s="589"/>
    </row>
    <row r="874" spans="1:33" s="210" customFormat="1" ht="15.75" hidden="1" customHeight="1">
      <c r="A874" s="203" t="str">
        <f>IF(B874&lt;&gt;"",IF(AND(B874&gt;=_TM1,B874&lt;=_TM2,OR(TH!L874="1111",TH!M874="1111")),TH!D874,""),"")</f>
        <v/>
      </c>
      <c r="B874" s="36" t="str">
        <f t="shared" si="44"/>
        <v/>
      </c>
      <c r="C874" s="183"/>
      <c r="D874" s="190"/>
      <c r="E874" s="190"/>
      <c r="F874" s="191"/>
      <c r="G874" s="481"/>
      <c r="H874" s="192"/>
      <c r="I874" s="255"/>
      <c r="J874" s="255"/>
      <c r="K874" s="597"/>
      <c r="L874" s="193"/>
      <c r="M874" s="193"/>
      <c r="N874" s="51" t="str">
        <f>IF(AND('331-CT'!$E$7=TH!H916,OR(L874="331",M874="331")),"331",IF(AND(OR(L874="131",M874="131"),H874='131-CT'!$E$7),"131",""))</f>
        <v/>
      </c>
      <c r="O874" s="891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IF(OR(TH!L916=TH!$W$7,M874=TH!$W$7),"x","")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IF(AND(OR(LEFT(TH!L916,2)="15",LEFT(TH!M916,2)="15"),'152-CT'!$J$8=TH!F916),"x","")</f>
        <v/>
      </c>
      <c r="Z874" s="51" t="str">
        <f>IF(AND(OR(LEFT(TH!L916,2)="15",LEFT(TH!M916,2)="15"),TK!$E$7=TH!F916),"x","")</f>
        <v/>
      </c>
      <c r="AA874" s="51" t="str">
        <f>IF(AND(B874&lt;=NKC!$N$8,B874&gt;=NKC!$M$8),"x","")</f>
        <v/>
      </c>
      <c r="AB874" s="923"/>
      <c r="AC874" s="589"/>
      <c r="AD874" s="589"/>
    </row>
    <row r="875" spans="1:33" s="210" customFormat="1" ht="15.75" hidden="1" customHeight="1">
      <c r="A875" s="203" t="str">
        <f>IF(B875&lt;&gt;"",IF(AND(B875&gt;=_TM1,B875&lt;=_TM2,OR(TH!L875="1111",TH!M875="1111")),TH!D875,""),"")</f>
        <v/>
      </c>
      <c r="B875" s="36" t="str">
        <f t="shared" si="44"/>
        <v/>
      </c>
      <c r="C875" s="183"/>
      <c r="D875" s="190"/>
      <c r="E875" s="190"/>
      <c r="F875" s="191"/>
      <c r="G875" s="481"/>
      <c r="H875" s="7"/>
      <c r="I875" s="255"/>
      <c r="J875" s="255"/>
      <c r="K875" s="37"/>
      <c r="L875" s="193"/>
      <c r="M875" s="193"/>
      <c r="N875" s="51" t="str">
        <f>IF(AND('331-CT'!$E$7=TH!H917,OR(L875="331",M875="331")),"331",IF(AND(OR(L875="131",M875="131"),H875='131-CT'!$E$7),"131",""))</f>
        <v/>
      </c>
      <c r="O875" s="891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IF(OR(TH!L917=TH!$W$7,M875=TH!$W$7),"x","")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IF(AND(OR(LEFT(TH!L917,2)="15",LEFT(TH!M917,2)="15"),'152-CT'!$J$8=TH!F917),"x","")</f>
        <v/>
      </c>
      <c r="Z875" s="51" t="str">
        <f>IF(AND(OR(LEFT(TH!L917,2)="15",LEFT(TH!M917,2)="15"),TK!$E$7=TH!F917),"x","")</f>
        <v/>
      </c>
      <c r="AA875" s="51" t="str">
        <f>IF(AND(B875&lt;=NKC!$N$8,B875&gt;=NKC!$M$8),"x","")</f>
        <v/>
      </c>
      <c r="AB875" s="923"/>
      <c r="AC875" s="589"/>
    </row>
    <row r="876" spans="1:33" s="210" customFormat="1" ht="15.75" hidden="1" customHeight="1">
      <c r="A876" s="203" t="str">
        <f>IF(B876&lt;&gt;"",IF(AND(B876&gt;=_TM1,B876&lt;=_TM2,OR(TH!L876="1111",TH!M876="1111")),TH!D876,""),"")</f>
        <v/>
      </c>
      <c r="B876" s="36" t="str">
        <f t="shared" si="44"/>
        <v/>
      </c>
      <c r="C876" s="183"/>
      <c r="D876" s="190"/>
      <c r="E876" s="190"/>
      <c r="F876" s="188"/>
      <c r="G876" s="481"/>
      <c r="H876" s="7"/>
      <c r="I876" s="256"/>
      <c r="J876" s="255"/>
      <c r="K876" s="597"/>
      <c r="L876" s="193"/>
      <c r="M876" s="193"/>
      <c r="N876" s="51" t="str">
        <f>IF(AND('331-CT'!$E$7=TH!H918,OR(L876="331",M876="331")),"331",IF(AND(OR(L876="131",M876="131"),H876='131-CT'!$E$7),"131",""))</f>
        <v/>
      </c>
      <c r="O876" s="891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IF(OR(TH!L918=TH!$W$7,M876=TH!$W$7),"x","")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IF(AND(OR(LEFT(TH!L918,2)="15",LEFT(TH!M918,2)="15"),'152-CT'!$J$8=TH!F918),"x","")</f>
        <v/>
      </c>
      <c r="Z876" s="51" t="str">
        <f>IF(AND(OR(LEFT(TH!L918,2)="15",LEFT(TH!M918,2)="15"),TK!$E$7=TH!F918),"x","")</f>
        <v/>
      </c>
      <c r="AA876" s="51" t="str">
        <f>IF(AND(B876&lt;=NKC!$N$8,B876&gt;=NKC!$M$8),"x","")</f>
        <v/>
      </c>
      <c r="AB876" s="923"/>
      <c r="AC876" s="589"/>
      <c r="AD876" s="589"/>
    </row>
    <row r="877" spans="1:33" s="210" customFormat="1" ht="15.75" hidden="1" customHeight="1">
      <c r="A877" s="203" t="str">
        <f>IF(B877&lt;&gt;"",IF(AND(B877&gt;=_TM1,B877&lt;=_TM2,OR(TH!L877="1111",TH!M877="1111")),TH!D877,""),"")</f>
        <v/>
      </c>
      <c r="B877" s="36" t="str">
        <f t="shared" si="44"/>
        <v/>
      </c>
      <c r="C877" s="183"/>
      <c r="D877" s="190"/>
      <c r="E877" s="183"/>
      <c r="F877" s="188"/>
      <c r="G877" s="481"/>
      <c r="H877" s="7"/>
      <c r="I877" s="255"/>
      <c r="J877" s="255"/>
      <c r="K877" s="597"/>
      <c r="L877" s="193"/>
      <c r="M877" s="193"/>
      <c r="N877" s="51" t="str">
        <f>IF(AND('331-CT'!$E$7=TH!H412,OR(L877="331",M877="331")),"331",IF(AND(OR(L877="131",M877="131"),H877='131-CT'!$E$7),"131",""))</f>
        <v/>
      </c>
      <c r="O877" s="891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IF(OR(TH!L412=TH!$W$7,M877=TH!$W$7),"x","")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IF(AND(OR(LEFT(TH!L412,2)="15",LEFT(TH!M412,2)="15"),'152-CT'!$J$8=TH!F412),"x","")</f>
        <v/>
      </c>
      <c r="Z877" s="51" t="str">
        <f>IF(AND(OR(LEFT(TH!L412,2)="15",LEFT(TH!M412,2)="15"),TK!$E$7=TH!F412),"x","")</f>
        <v/>
      </c>
      <c r="AA877" s="51" t="str">
        <f>IF(AND(B877&lt;=NKC!$N$8,B877&gt;=NKC!$M$8),"x","")</f>
        <v/>
      </c>
      <c r="AB877" s="923"/>
      <c r="AC877" s="589"/>
      <c r="AD877" s="589"/>
      <c r="AF877" s="589"/>
      <c r="AG877" s="589"/>
    </row>
    <row r="878" spans="1:33" s="210" customFormat="1" ht="15.75" hidden="1" customHeight="1">
      <c r="A878" s="203" t="str">
        <f>IF(B878&lt;&gt;"",IF(AND(B878&gt;=_TM1,B878&lt;=_TM2,OR(TH!L878="1111",TH!M878="1111")),TH!D878,""),"")</f>
        <v/>
      </c>
      <c r="B878" s="36" t="str">
        <f t="shared" si="44"/>
        <v/>
      </c>
      <c r="C878" s="183"/>
      <c r="D878" s="190"/>
      <c r="E878" s="183"/>
      <c r="F878" s="188"/>
      <c r="G878" s="481"/>
      <c r="H878" s="7"/>
      <c r="I878" s="255"/>
      <c r="J878" s="255"/>
      <c r="K878" s="597"/>
      <c r="L878" s="193"/>
      <c r="M878" s="193"/>
      <c r="N878" s="51" t="str">
        <f>IF(AND('331-CT'!$E$7=TH!H413,OR(L878="331",M878="331")),"331",IF(AND(OR(L878="131",M878="131"),H878='131-CT'!$E$7),"131",""))</f>
        <v/>
      </c>
      <c r="O878" s="891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IF(OR(TH!L413=TH!$W$7,M878=TH!$W$7),"x","")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IF(AND(OR(LEFT(TH!L413,2)="15",LEFT(TH!M413,2)="15"),'152-CT'!$J$8=TH!F413),"x","")</f>
        <v/>
      </c>
      <c r="Z878" s="51" t="str">
        <f>IF(AND(OR(LEFT(TH!L413,2)="15",LEFT(TH!M413,2)="15"),TK!$E$7=TH!F413),"x","")</f>
        <v/>
      </c>
      <c r="AA878" s="51" t="str">
        <f>IF(AND(B878&lt;=NKC!$N$8,B878&gt;=NKC!$M$8),"x","")</f>
        <v/>
      </c>
      <c r="AB878" s="923"/>
      <c r="AC878" s="589"/>
      <c r="AF878" s="589"/>
      <c r="AG878" s="589"/>
    </row>
    <row r="879" spans="1:33" s="862" customFormat="1" ht="15.75" hidden="1" customHeight="1">
      <c r="A879" s="203" t="str">
        <f>IF(B879&lt;&gt;"",IF(AND(B879&gt;=_TM1,B879&lt;=_TM2,OR(TH!L879="1111",TH!M879="1111")),TH!D879,""),"")</f>
        <v/>
      </c>
      <c r="B879" s="36" t="str">
        <f t="shared" si="44"/>
        <v/>
      </c>
      <c r="C879" s="183"/>
      <c r="D879" s="190"/>
      <c r="E879" s="183"/>
      <c r="F879" s="188"/>
      <c r="G879" s="481"/>
      <c r="H879" s="7"/>
      <c r="I879" s="255"/>
      <c r="J879" s="255"/>
      <c r="K879" s="37"/>
      <c r="L879" s="193"/>
      <c r="M879" s="193"/>
      <c r="N879" s="51" t="str">
        <f>IF(AND('331-CT'!$E$7=TH!H414,OR(L879="331",M879="331")),"331",IF(AND(OR(L879="131",M879="131"),H879='131-CT'!$E$7),"131",""))</f>
        <v/>
      </c>
      <c r="O879" s="891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IF(OR(TH!L414=TH!$W$7,M879=TH!$W$7),"x","")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IF(AND(OR(LEFT(TH!L414,2)="15",LEFT(TH!M414,2)="15"),'152-CT'!$J$8=TH!F414),"x","")</f>
        <v/>
      </c>
      <c r="Z879" s="51" t="str">
        <f>IF(AND(OR(LEFT(TH!L414,2)="15",LEFT(TH!M414,2)="15"),TK!$E$7=TH!F414),"x","")</f>
        <v/>
      </c>
      <c r="AA879" s="51" t="str">
        <f>IF(AND(B879&lt;=NKC!$N$8,B879&gt;=NKC!$M$8),"x","")</f>
        <v/>
      </c>
      <c r="AB879" s="923"/>
      <c r="AC879" s="589"/>
      <c r="AD879" s="589"/>
      <c r="AE879" s="210"/>
      <c r="AF879" s="589"/>
      <c r="AG879" s="589"/>
    </row>
    <row r="880" spans="1:33" s="210" customFormat="1" ht="15.75" hidden="1" customHeight="1">
      <c r="A880" s="203" t="str">
        <f>IF(B880&lt;&gt;"",IF(AND(B880&gt;=_TM1,B880&lt;=_TM2,OR(TH!L880="1111",TH!M880="1111")),TH!D880,""),"")</f>
        <v/>
      </c>
      <c r="B880" s="36" t="str">
        <f t="shared" si="44"/>
        <v/>
      </c>
      <c r="C880" s="183"/>
      <c r="D880" s="190"/>
      <c r="E880" s="183"/>
      <c r="F880" s="188"/>
      <c r="G880" s="481"/>
      <c r="H880" s="7"/>
      <c r="I880" s="255"/>
      <c r="J880" s="255"/>
      <c r="K880" s="597"/>
      <c r="L880" s="193"/>
      <c r="M880" s="193"/>
      <c r="N880" s="51" t="str">
        <f>IF(AND('331-CT'!$E$7=TH!H415,OR(L880="331",M880="331")),"331",IF(AND(OR(L880="131",M880="131"),H880='131-CT'!$E$7),"131",""))</f>
        <v/>
      </c>
      <c r="O880" s="891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IF(OR(TH!L415=TH!$W$7,M880=TH!$W$7),"x","")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IF(AND(OR(LEFT(TH!L415,2)="15",LEFT(TH!M415,2)="15"),'152-CT'!$J$8=TH!F415),"x","")</f>
        <v/>
      </c>
      <c r="Z880" s="51" t="str">
        <f>IF(AND(OR(LEFT(TH!L415,2)="15",LEFT(TH!M415,2)="15"),TK!$E$7=TH!F415),"x","")</f>
        <v/>
      </c>
      <c r="AA880" s="51" t="str">
        <f>IF(AND(B880&lt;=NKC!$N$8,B880&gt;=NKC!$M$8),"x","")</f>
        <v/>
      </c>
      <c r="AB880" s="923"/>
      <c r="AC880" s="589"/>
      <c r="AD880" s="589"/>
      <c r="AF880" s="589"/>
      <c r="AG880" s="589"/>
    </row>
    <row r="881" spans="1:33" s="210" customFormat="1" ht="15.75" hidden="1" customHeight="1">
      <c r="A881" s="203" t="str">
        <f>IF(B881&lt;&gt;"",IF(AND(B881&gt;=_TM1,B881&lt;=_TM2,OR(TH!L881="1111",TH!M881="1111")),TH!D881,""),"")</f>
        <v/>
      </c>
      <c r="B881" s="36" t="str">
        <f t="shared" si="44"/>
        <v/>
      </c>
      <c r="C881" s="183"/>
      <c r="D881" s="190"/>
      <c r="E881" s="190"/>
      <c r="F881" s="191"/>
      <c r="G881" s="481"/>
      <c r="H881" s="7"/>
      <c r="I881" s="255"/>
      <c r="J881" s="255"/>
      <c r="K881" s="37"/>
      <c r="L881" s="193"/>
      <c r="M881" s="193"/>
      <c r="N881" s="51" t="str">
        <f>IF(AND('331-CT'!$E$7=TH!H919,OR(L881="331",M881="331")),"331",IF(AND(OR(L881="131",M881="131"),H881='131-CT'!$E$7),"131",""))</f>
        <v/>
      </c>
      <c r="O881" s="891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IF(OR(TH!L919=TH!$W$7,M881=TH!$W$7),"x","")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IF(AND(OR(LEFT(TH!L919,2)="15",LEFT(TH!M919,2)="15"),'152-CT'!$J$8=TH!F919),"x","")</f>
        <v/>
      </c>
      <c r="Z881" s="51" t="str">
        <f>IF(AND(OR(LEFT(TH!L919,2)="15",LEFT(TH!M919,2)="15"),TK!$E$7=TH!F919),"x","")</f>
        <v/>
      </c>
      <c r="AA881" s="51" t="str">
        <f>IF(AND(B881&lt;=NKC!$N$8,B881&gt;=NKC!$M$8),"x","")</f>
        <v/>
      </c>
      <c r="AB881" s="923"/>
      <c r="AC881" s="589"/>
    </row>
    <row r="882" spans="1:33" s="210" customFormat="1" ht="15.75" hidden="1" customHeight="1">
      <c r="A882" s="203" t="str">
        <f>IF(B882&lt;&gt;"",IF(AND(B882&gt;=_TM1,B882&lt;=_TM2,OR(TH!L882="1111",TH!M882="1111")),TH!D882,""),"")</f>
        <v/>
      </c>
      <c r="B882" s="36" t="str">
        <f t="shared" si="44"/>
        <v/>
      </c>
      <c r="C882" s="183"/>
      <c r="D882" s="190"/>
      <c r="E882" s="190"/>
      <c r="F882" s="191"/>
      <c r="G882" s="481"/>
      <c r="H882" s="7"/>
      <c r="I882" s="255"/>
      <c r="J882" s="255"/>
      <c r="K882" s="597"/>
      <c r="L882" s="193"/>
      <c r="M882" s="193"/>
      <c r="N882" s="51" t="str">
        <f>IF(AND('331-CT'!$E$7=TH!H920,OR(L882="331",M882="331")),"331",IF(AND(OR(L882="131",M882="131"),H882='131-CT'!$E$7),"131",""))</f>
        <v/>
      </c>
      <c r="O882" s="891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IF(OR(TH!L920=TH!$W$7,M882=TH!$W$7),"x","")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IF(AND(OR(LEFT(TH!L920,2)="15",LEFT(TH!M920,2)="15"),'152-CT'!$J$8=TH!F920),"x","")</f>
        <v/>
      </c>
      <c r="Z882" s="51" t="str">
        <f>IF(AND(OR(LEFT(TH!L920,2)="15",LEFT(TH!M920,2)="15"),TK!$E$7=TH!F920),"x","")</f>
        <v/>
      </c>
      <c r="AA882" s="51" t="str">
        <f>IF(AND(B882&lt;=NKC!$N$8,B882&gt;=NKC!$M$8),"x","")</f>
        <v/>
      </c>
      <c r="AB882" s="923"/>
      <c r="AC882" s="589"/>
      <c r="AD882" s="589"/>
    </row>
    <row r="883" spans="1:33" s="210" customFormat="1" ht="15.75" hidden="1" customHeight="1">
      <c r="A883" s="203" t="str">
        <f>IF(B883&lt;&gt;"",IF(AND(B883&gt;=_TM1,B883&lt;=_TM2,OR(TH!L883="1111",TH!M883="1111")),TH!D883,""),"")</f>
        <v/>
      </c>
      <c r="B883" s="36" t="str">
        <f t="shared" si="44"/>
        <v/>
      </c>
      <c r="C883" s="183"/>
      <c r="D883" s="190"/>
      <c r="E883" s="190"/>
      <c r="F883" s="191"/>
      <c r="G883" s="481"/>
      <c r="H883" s="7"/>
      <c r="I883" s="255"/>
      <c r="J883" s="255"/>
      <c r="K883" s="37"/>
      <c r="L883" s="193"/>
      <c r="M883" s="193"/>
      <c r="N883" s="51" t="str">
        <f>IF(AND('331-CT'!$E$7=TH!H921,OR(L883="331",M883="331")),"331",IF(AND(OR(L883="131",M883="131"),H883='131-CT'!$E$7),"131",""))</f>
        <v/>
      </c>
      <c r="O883" s="891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IF(OR(TH!L921=TH!$W$7,M883=TH!$W$7),"x","")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IF(AND(OR(LEFT(TH!L921,2)="15",LEFT(TH!M921,2)="15"),'152-CT'!$J$8=TH!F921),"x","")</f>
        <v/>
      </c>
      <c r="Z883" s="51" t="str">
        <f>IF(AND(OR(LEFT(TH!L921,2)="15",LEFT(TH!M921,2)="15"),TK!$E$7=TH!F921),"x","")</f>
        <v/>
      </c>
      <c r="AA883" s="51" t="str">
        <f>IF(AND(B883&lt;=NKC!$N$8,B883&gt;=NKC!$M$8),"x","")</f>
        <v/>
      </c>
      <c r="AB883" s="923"/>
      <c r="AC883" s="589"/>
      <c r="AD883" s="589"/>
    </row>
    <row r="884" spans="1:33" s="210" customFormat="1" ht="15.75" hidden="1" customHeight="1">
      <c r="A884" s="203" t="str">
        <f>IF(B884&lt;&gt;"",IF(AND(B884&gt;=_TM1,B884&lt;=_TM2,OR(TH!L884="1111",TH!M884="1111")),TH!D884,""),"")</f>
        <v/>
      </c>
      <c r="B884" s="36" t="str">
        <f t="shared" si="44"/>
        <v/>
      </c>
      <c r="C884" s="183"/>
      <c r="D884" s="190"/>
      <c r="E884" s="190"/>
      <c r="F884" s="191"/>
      <c r="G884" s="481"/>
      <c r="H884" s="7"/>
      <c r="I884" s="255"/>
      <c r="J884" s="255"/>
      <c r="K884" s="597"/>
      <c r="L884" s="193"/>
      <c r="M884" s="193"/>
      <c r="N884" s="51" t="str">
        <f>IF(AND('331-CT'!$E$7=TH!H922,OR(L884="331",M884="331")),"331",IF(AND(OR(L884="131",M884="131"),H884='131-CT'!$E$7),"131",""))</f>
        <v/>
      </c>
      <c r="O884" s="891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IF(OR(TH!L922=TH!$W$7,M884=TH!$W$7),"x","")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IF(AND(OR(LEFT(TH!L922,2)="15",LEFT(TH!M922,2)="15"),'152-CT'!$J$8=TH!F922),"x","")</f>
        <v/>
      </c>
      <c r="Z884" s="51" t="str">
        <f>IF(AND(OR(LEFT(TH!L922,2)="15",LEFT(TH!M922,2)="15"),TK!$E$7=TH!F922),"x","")</f>
        <v/>
      </c>
      <c r="AA884" s="51" t="str">
        <f>IF(AND(B884&lt;=NKC!$N$8,B884&gt;=NKC!$M$8),"x","")</f>
        <v/>
      </c>
      <c r="AB884" s="923"/>
      <c r="AC884" s="589"/>
      <c r="AD884" s="589"/>
    </row>
    <row r="885" spans="1:33" s="210" customFormat="1" ht="15.75" hidden="1" customHeight="1">
      <c r="A885" s="203" t="str">
        <f>IF(B885&lt;&gt;"",IF(AND(B885&gt;=_TM1,B885&lt;=_TM2,OR(TH!L885="1111",TH!M885="1111")),TH!D885,""),"")</f>
        <v/>
      </c>
      <c r="B885" s="36" t="str">
        <f t="shared" si="44"/>
        <v/>
      </c>
      <c r="C885" s="183"/>
      <c r="D885" s="190"/>
      <c r="E885" s="190"/>
      <c r="F885" s="191"/>
      <c r="G885" s="481"/>
      <c r="H885" s="7"/>
      <c r="I885" s="255"/>
      <c r="J885" s="255"/>
      <c r="K885" s="37"/>
      <c r="L885" s="193"/>
      <c r="M885" s="193"/>
      <c r="N885" s="51" t="str">
        <f>IF(AND('331-CT'!$E$7=TH!H923,OR(L885="331",M885="331")),"331",IF(AND(OR(L885="131",M885="131"),H885='131-CT'!$E$7),"131",""))</f>
        <v/>
      </c>
      <c r="O885" s="891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IF(OR(TH!L923=TH!$W$7,M885=TH!$W$7),"x","")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IF(AND(OR(LEFT(TH!L923,2)="15",LEFT(TH!M923,2)="15"),'152-CT'!$J$8=TH!F923),"x","")</f>
        <v/>
      </c>
      <c r="Z885" s="51" t="str">
        <f>IF(AND(OR(LEFT(TH!L923,2)="15",LEFT(TH!M923,2)="15"),TK!$E$7=TH!F923),"x","")</f>
        <v/>
      </c>
      <c r="AA885" s="51" t="str">
        <f>IF(AND(B885&lt;=NKC!$N$8,B885&gt;=NKC!$M$8),"x","")</f>
        <v/>
      </c>
      <c r="AB885" s="923"/>
      <c r="AC885" s="589"/>
      <c r="AD885" s="589"/>
    </row>
    <row r="886" spans="1:33" s="210" customFormat="1" ht="15.75" hidden="1" customHeight="1">
      <c r="A886" s="203" t="str">
        <f>IF(B886&lt;&gt;"",IF(AND(B886&gt;=_TM1,B886&lt;=_TM2,OR(TH!L886="1111",TH!M886="1111")),TH!D886,""),"")</f>
        <v/>
      </c>
      <c r="B886" s="36" t="str">
        <f t="shared" si="44"/>
        <v/>
      </c>
      <c r="C886" s="183"/>
      <c r="D886" s="190"/>
      <c r="E886" s="190"/>
      <c r="F886" s="191"/>
      <c r="G886" s="481"/>
      <c r="H886" s="7"/>
      <c r="I886" s="255"/>
      <c r="J886" s="255"/>
      <c r="K886" s="37"/>
      <c r="L886" s="193"/>
      <c r="M886" s="193"/>
      <c r="N886" s="51" t="str">
        <f>IF(AND('331-CT'!$E$7=TH!H924,OR(L886="331",M886="331")),"331",IF(AND(OR(L886="131",M886="131"),H886='131-CT'!$E$7),"131",""))</f>
        <v/>
      </c>
      <c r="O886" s="891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IF(OR(TH!L924=TH!$W$7,M886=TH!$W$7),"x","")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IF(AND(OR(LEFT(TH!L924,2)="15",LEFT(TH!M924,2)="15"),'152-CT'!$J$8=TH!F924),"x","")</f>
        <v/>
      </c>
      <c r="Z886" s="51" t="str">
        <f>IF(AND(OR(LEFT(TH!L924,2)="15",LEFT(TH!M924,2)="15"),TK!$E$7=TH!F924),"x","")</f>
        <v/>
      </c>
      <c r="AA886" s="51" t="str">
        <f>IF(AND(B886&lt;=NKC!$N$8,B886&gt;=NKC!$M$8),"x","")</f>
        <v/>
      </c>
      <c r="AB886" s="923"/>
      <c r="AC886" s="589"/>
      <c r="AD886" s="589"/>
    </row>
    <row r="887" spans="1:33" s="210" customFormat="1" ht="15.75" hidden="1" customHeight="1">
      <c r="A887" s="203" t="str">
        <f>IF(B887&lt;&gt;"",IF(AND(B887&gt;=_TM1,B887&lt;=_TM2,OR(TH!L887="1111",TH!M887="1111")),TH!D887,""),"")</f>
        <v/>
      </c>
      <c r="B887" s="36" t="str">
        <f t="shared" si="44"/>
        <v/>
      </c>
      <c r="C887" s="183"/>
      <c r="D887" s="190"/>
      <c r="E887" s="190"/>
      <c r="F887" s="191"/>
      <c r="G887" s="481"/>
      <c r="H887" s="7"/>
      <c r="I887" s="255"/>
      <c r="J887" s="255"/>
      <c r="K887" s="37"/>
      <c r="L887" s="193"/>
      <c r="M887" s="193"/>
      <c r="N887" s="51" t="str">
        <f>IF(AND('331-CT'!$E$7=TH!H925,OR(L887="331",M887="331")),"331",IF(AND(OR(L887="131",M887="131"),H887='131-CT'!$E$7),"131",""))</f>
        <v/>
      </c>
      <c r="O887" s="891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IF(OR(TH!L925=TH!$W$7,M887=TH!$W$7),"x","")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IF(AND(OR(LEFT(TH!L925,2)="15",LEFT(TH!M925,2)="15"),'152-CT'!$J$8=TH!F925),"x","")</f>
        <v/>
      </c>
      <c r="Z887" s="51" t="str">
        <f>IF(AND(OR(LEFT(TH!L925,2)="15",LEFT(TH!M925,2)="15"),TK!$E$7=TH!F925),"x","")</f>
        <v/>
      </c>
      <c r="AA887" s="51" t="str">
        <f>IF(AND(B887&lt;=NKC!$N$8,B887&gt;=NKC!$M$8),"x","")</f>
        <v/>
      </c>
      <c r="AB887" s="923"/>
      <c r="AC887" s="589"/>
      <c r="AD887" s="589"/>
    </row>
    <row r="888" spans="1:33" s="210" customFormat="1" ht="15.75" hidden="1" customHeight="1">
      <c r="A888" s="203" t="str">
        <f>IF(B888&lt;&gt;"",IF(AND(B888&gt;=_TM1,B888&lt;=_TM2,OR(TH!L888="1111",TH!M888="1111")),TH!D888,""),"")</f>
        <v/>
      </c>
      <c r="B888" s="36" t="str">
        <f t="shared" si="44"/>
        <v/>
      </c>
      <c r="C888" s="183"/>
      <c r="D888" s="190"/>
      <c r="E888" s="190"/>
      <c r="F888" s="191"/>
      <c r="G888" s="481"/>
      <c r="H888" s="7"/>
      <c r="I888" s="255"/>
      <c r="J888" s="255"/>
      <c r="K888" s="597"/>
      <c r="L888" s="193"/>
      <c r="M888" s="193"/>
      <c r="N888" s="51" t="str">
        <f>IF(AND('331-CT'!$E$7=TH!H926,OR(L888="331",M888="331")),"331",IF(AND(OR(L888="131",M888="131"),H888='131-CT'!$E$7),"131",""))</f>
        <v/>
      </c>
      <c r="O888" s="891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IF(OR(TH!L926=TH!$W$7,M888=TH!$W$7),"x","")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IF(AND(OR(LEFT(TH!L926,2)="15",LEFT(TH!M926,2)="15"),'152-CT'!$J$8=TH!F926),"x","")</f>
        <v/>
      </c>
      <c r="Z888" s="51" t="str">
        <f>IF(AND(OR(LEFT(TH!L926,2)="15",LEFT(TH!M926,2)="15"),TK!$E$7=TH!F926),"x","")</f>
        <v/>
      </c>
      <c r="AA888" s="51" t="str">
        <f>IF(AND(B888&lt;=NKC!$N$8,B888&gt;=NKC!$M$8),"x","")</f>
        <v/>
      </c>
      <c r="AB888" s="923"/>
      <c r="AC888" s="589"/>
      <c r="AD888" s="589"/>
    </row>
    <row r="889" spans="1:33" s="210" customFormat="1" ht="15.75" hidden="1" customHeight="1">
      <c r="A889" s="203" t="str">
        <f>IF(B889&lt;&gt;"",IF(AND(B889&gt;=_TM1,B889&lt;=_TM2,OR(TH!L889="1111",TH!M889="1111")),TH!D889,""),"")</f>
        <v/>
      </c>
      <c r="B889" s="36" t="str">
        <f t="shared" si="44"/>
        <v/>
      </c>
      <c r="C889" s="183"/>
      <c r="D889" s="190"/>
      <c r="E889" s="183"/>
      <c r="F889" s="191"/>
      <c r="G889" s="481"/>
      <c r="H889" s="7"/>
      <c r="I889" s="255"/>
      <c r="J889" s="255"/>
      <c r="K889" s="37"/>
      <c r="L889" s="193"/>
      <c r="M889" s="193"/>
      <c r="N889" s="51" t="str">
        <f>IF(AND('331-CT'!$E$7=TH!H416,OR(L889="331",M889="331")),"331",IF(AND(OR(L889="131",M889="131"),H889='131-CT'!$E$7),"131",""))</f>
        <v/>
      </c>
      <c r="O889" s="891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IF(OR(TH!L416=TH!$W$7,M889=TH!$W$7),"x","")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IF(AND(OR(LEFT(TH!L416,2)="15",LEFT(TH!M416,2)="15"),'152-CT'!$J$8=TH!F416),"x","")</f>
        <v/>
      </c>
      <c r="Z889" s="51" t="str">
        <f>IF(AND(OR(LEFT(TH!L416,2)="15",LEFT(TH!M416,2)="15"),TK!$E$7=TH!F416),"x","")</f>
        <v/>
      </c>
      <c r="AA889" s="51" t="str">
        <f>IF(AND(B889&lt;=NKC!$N$8,B889&gt;=NKC!$M$8),"x","")</f>
        <v/>
      </c>
      <c r="AB889" s="923"/>
      <c r="AC889" s="589"/>
      <c r="AD889" s="589"/>
      <c r="AF889" s="589"/>
      <c r="AG889" s="589"/>
    </row>
    <row r="890" spans="1:33" s="210" customFormat="1" ht="15.75" hidden="1" customHeight="1">
      <c r="A890" s="203" t="str">
        <f>IF(B890&lt;&gt;"",IF(AND(B890&gt;=_TM1,B890&lt;=_TM2,OR(TH!L890="1111",TH!M890="1111")),TH!D890,""),"")</f>
        <v/>
      </c>
      <c r="B890" s="36" t="str">
        <f t="shared" si="44"/>
        <v/>
      </c>
      <c r="C890" s="183"/>
      <c r="D890" s="190"/>
      <c r="E890" s="183"/>
      <c r="F890" s="191"/>
      <c r="G890" s="481"/>
      <c r="H890" s="7"/>
      <c r="I890" s="255"/>
      <c r="J890" s="255"/>
      <c r="K890" s="597"/>
      <c r="L890" s="193"/>
      <c r="M890" s="193"/>
      <c r="N890" s="51" t="str">
        <f>IF(AND('331-CT'!$E$7=TH!H417,OR(L890="331",M890="331")),"331",IF(AND(OR(L890="131",M890="131"),H890='131-CT'!$E$7),"131",""))</f>
        <v/>
      </c>
      <c r="O890" s="891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IF(OR(TH!L417=TH!$W$7,M890=TH!$W$7),"x","")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IF(AND(OR(LEFT(TH!L417,2)="15",LEFT(TH!M417,2)="15"),'152-CT'!$J$8=TH!F417),"x","")</f>
        <v/>
      </c>
      <c r="Z890" s="51" t="str">
        <f>IF(AND(OR(LEFT(TH!L417,2)="15",LEFT(TH!M417,2)="15"),TK!$E$7=TH!F417),"x","")</f>
        <v/>
      </c>
      <c r="AA890" s="51" t="str">
        <f>IF(AND(B890&lt;=NKC!$N$8,B890&gt;=NKC!$M$8),"x","")</f>
        <v/>
      </c>
      <c r="AB890" s="923"/>
      <c r="AC890" s="589"/>
      <c r="AF890" s="589"/>
      <c r="AG890" s="589"/>
    </row>
    <row r="891" spans="1:33" s="210" customFormat="1" ht="15.75" hidden="1" customHeight="1">
      <c r="A891" s="203" t="str">
        <f>IF(B891&lt;&gt;"",IF(AND(B891&gt;=_TM1,B891&lt;=_TM2,OR(TH!L891="1111",TH!M891="1111")),TH!D891,""),"")</f>
        <v/>
      </c>
      <c r="B891" s="36" t="str">
        <f t="shared" si="44"/>
        <v/>
      </c>
      <c r="C891" s="183"/>
      <c r="D891" s="190"/>
      <c r="E891" s="190"/>
      <c r="F891" s="191"/>
      <c r="G891" s="481"/>
      <c r="H891" s="192"/>
      <c r="I891" s="255"/>
      <c r="J891" s="255"/>
      <c r="K891" s="37"/>
      <c r="L891" s="193"/>
      <c r="M891" s="193"/>
      <c r="N891" s="51" t="str">
        <f>IF(AND('331-CT'!$E$7=TH!H927,OR(L891="331",M891="331")),"331",IF(AND(OR(L891="131",M891="131"),H891='131-CT'!$E$7),"131",""))</f>
        <v/>
      </c>
      <c r="O891" s="891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IF(OR(TH!L927=TH!$W$7,M891=TH!$W$7),"x","")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IF(AND(OR(LEFT(TH!L927,2)="15",LEFT(TH!M927,2)="15"),'152-CT'!$J$8=TH!F927),"x","")</f>
        <v/>
      </c>
      <c r="Z891" s="51" t="str">
        <f>IF(AND(OR(LEFT(TH!L927,2)="15",LEFT(TH!M927,2)="15"),TK!$E$7=TH!F927),"x","")</f>
        <v/>
      </c>
      <c r="AA891" s="51" t="str">
        <f>IF(AND(B891&lt;=NKC!$N$8,B891&gt;=NKC!$M$8),"x","")</f>
        <v/>
      </c>
      <c r="AB891" s="923"/>
      <c r="AC891" s="589"/>
      <c r="AD891" s="589"/>
    </row>
    <row r="892" spans="1:33" s="210" customFormat="1" ht="15.75" hidden="1" customHeight="1">
      <c r="A892" s="203" t="str">
        <f>IF(B892&lt;&gt;"",IF(AND(B892&gt;=_TM1,B892&lt;=_TM2,OR(TH!L892="1111",TH!M892="1111")),TH!D892,""),"")</f>
        <v/>
      </c>
      <c r="B892" s="36" t="str">
        <f t="shared" si="44"/>
        <v/>
      </c>
      <c r="C892" s="183"/>
      <c r="D892" s="190"/>
      <c r="E892" s="190"/>
      <c r="F892" s="191"/>
      <c r="G892" s="481"/>
      <c r="H892" s="192"/>
      <c r="I892" s="255"/>
      <c r="J892" s="255"/>
      <c r="K892" s="597"/>
      <c r="L892" s="193"/>
      <c r="M892" s="193"/>
      <c r="N892" s="51" t="str">
        <f>IF(AND('331-CT'!$E$7=TH!H928,OR(L892="331",M892="331")),"331",IF(AND(OR(L892="131",M892="131"),H892='131-CT'!$E$7),"131",""))</f>
        <v/>
      </c>
      <c r="O892" s="891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IF(OR(TH!L928=TH!$W$7,M892=TH!$W$7),"x","")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IF(AND(OR(LEFT(TH!L928,2)="15",LEFT(TH!M928,2)="15"),'152-CT'!$J$8=TH!F928),"x","")</f>
        <v/>
      </c>
      <c r="Z892" s="51" t="str">
        <f>IF(AND(OR(LEFT(TH!L928,2)="15",LEFT(TH!M928,2)="15"),TK!$E$7=TH!F928),"x","")</f>
        <v/>
      </c>
      <c r="AA892" s="51" t="str">
        <f>IF(AND(B892&lt;=NKC!$N$8,B892&gt;=NKC!$M$8),"x","")</f>
        <v/>
      </c>
      <c r="AB892" s="923"/>
      <c r="AC892" s="589"/>
      <c r="AD892" s="589"/>
    </row>
    <row r="893" spans="1:33" s="210" customFormat="1" ht="15.75" hidden="1" customHeight="1">
      <c r="A893" s="203" t="str">
        <f>IF(B893&lt;&gt;"",IF(AND(B893&gt;=_TM1,B893&lt;=_TM2,OR(TH!L893="1111",TH!M893="1111")),TH!D893,""),"")</f>
        <v/>
      </c>
      <c r="B893" s="36" t="str">
        <f t="shared" si="44"/>
        <v/>
      </c>
      <c r="C893" s="183"/>
      <c r="D893" s="190"/>
      <c r="E893" s="190"/>
      <c r="F893" s="191"/>
      <c r="G893" s="481"/>
      <c r="H893" s="192"/>
      <c r="I893" s="255"/>
      <c r="J893" s="255"/>
      <c r="K893" s="37"/>
      <c r="L893" s="193"/>
      <c r="M893" s="193"/>
      <c r="N893" s="51" t="str">
        <f>IF(AND('331-CT'!$E$7=TH!H929,OR(L893="331",M893="331")),"331",IF(AND(OR(L893="131",M893="131"),H893='131-CT'!$E$7),"131",""))</f>
        <v/>
      </c>
      <c r="O893" s="891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IF(OR(TH!L929=TH!$W$7,M893=TH!$W$7),"x","")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IF(AND(OR(LEFT(TH!L929,2)="15",LEFT(TH!M929,2)="15"),'152-CT'!$J$8=TH!F929),"x","")</f>
        <v/>
      </c>
      <c r="Z893" s="51" t="str">
        <f>IF(AND(OR(LEFT(TH!L929,2)="15",LEFT(TH!M929,2)="15"),TK!$E$7=TH!F929),"x","")</f>
        <v/>
      </c>
      <c r="AA893" s="51" t="str">
        <f>IF(AND(B893&lt;=NKC!$N$8,B893&gt;=NKC!$M$8),"x","")</f>
        <v/>
      </c>
      <c r="AB893" s="923"/>
      <c r="AC893" s="589"/>
    </row>
    <row r="894" spans="1:33" s="210" customFormat="1" ht="15.75" hidden="1" customHeight="1">
      <c r="A894" s="203" t="str">
        <f>IF(B894&lt;&gt;"",IF(AND(B894&gt;=_TM1,B894&lt;=_TM2,OR(TH!L894="1111",TH!M894="1111")),TH!D894,""),"")</f>
        <v/>
      </c>
      <c r="B894" s="36" t="str">
        <f t="shared" si="44"/>
        <v/>
      </c>
      <c r="C894" s="183"/>
      <c r="D894" s="190"/>
      <c r="E894" s="190"/>
      <c r="F894" s="191"/>
      <c r="G894" s="481"/>
      <c r="H894" s="192"/>
      <c r="I894" s="255"/>
      <c r="J894" s="255"/>
      <c r="K894" s="37"/>
      <c r="L894" s="193"/>
      <c r="M894" s="193"/>
      <c r="N894" s="51" t="str">
        <f>IF(AND('331-CT'!$E$7=TH!H930,OR(L894="331",M894="331")),"331",IF(AND(OR(L894="131",M894="131"),H894='131-CT'!$E$7),"131",""))</f>
        <v/>
      </c>
      <c r="O894" s="891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IF(OR(TH!L930=TH!$W$7,M894=TH!$W$7),"x","")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IF(AND(OR(LEFT(TH!L930,2)="15",LEFT(TH!M930,2)="15"),'152-CT'!$J$8=TH!F930),"x","")</f>
        <v/>
      </c>
      <c r="Z894" s="51" t="str">
        <f>IF(AND(OR(LEFT(TH!L930,2)="15",LEFT(TH!M930,2)="15"),TK!$E$7=TH!F930),"x","")</f>
        <v/>
      </c>
      <c r="AA894" s="51" t="str">
        <f>IF(AND(B894&lt;=NKC!$N$8,B894&gt;=NKC!$M$8),"x","")</f>
        <v/>
      </c>
      <c r="AB894" s="923"/>
      <c r="AC894" s="589"/>
      <c r="AD894" s="589"/>
    </row>
    <row r="895" spans="1:33" s="210" customFormat="1" ht="15.75" hidden="1" customHeight="1">
      <c r="A895" s="203" t="str">
        <f>IF(B895&lt;&gt;"",IF(AND(B895&gt;=_TM1,B895&lt;=_TM2,OR(TH!L895="1111",TH!M895="1111")),TH!D895,""),"")</f>
        <v/>
      </c>
      <c r="B895" s="36" t="str">
        <f t="shared" si="44"/>
        <v/>
      </c>
      <c r="C895" s="183"/>
      <c r="D895" s="190"/>
      <c r="E895" s="190"/>
      <c r="F895" s="191"/>
      <c r="G895" s="481"/>
      <c r="H895" s="192"/>
      <c r="I895" s="255"/>
      <c r="J895" s="255"/>
      <c r="K895" s="597"/>
      <c r="L895" s="193"/>
      <c r="M895" s="193"/>
      <c r="N895" s="51" t="str">
        <f>IF(AND('331-CT'!$E$7=TH!H931,OR(L895="331",M895="331")),"331",IF(AND(OR(L895="131",M895="131"),H895='131-CT'!$E$7),"131",""))</f>
        <v/>
      </c>
      <c r="O895" s="891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IF(OR(TH!L931=TH!$W$7,M895=TH!$W$7),"x","")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IF(AND(OR(LEFT(TH!L931,2)="15",LEFT(TH!M931,2)="15"),'152-CT'!$J$8=TH!F931),"x","")</f>
        <v/>
      </c>
      <c r="Z895" s="51" t="str">
        <f>IF(AND(OR(LEFT(TH!L931,2)="15",LEFT(TH!M931,2)="15"),TK!$E$7=TH!F931),"x","")</f>
        <v/>
      </c>
      <c r="AA895" s="51" t="str">
        <f>IF(AND(B895&lt;=NKC!$N$8,B895&gt;=NKC!$M$8),"x","")</f>
        <v/>
      </c>
      <c r="AB895" s="923"/>
      <c r="AC895" s="589"/>
      <c r="AD895" s="589"/>
    </row>
    <row r="896" spans="1:33" s="210" customFormat="1" ht="15.75" hidden="1" customHeight="1">
      <c r="A896" s="203" t="str">
        <f>IF(B896&lt;&gt;"",IF(AND(B896&gt;=_TM1,B896&lt;=_TM2,OR(TH!L896="1111",TH!M896="1111")),TH!D896,""),"")</f>
        <v/>
      </c>
      <c r="B896" s="36" t="str">
        <f t="shared" si="44"/>
        <v/>
      </c>
      <c r="C896" s="183"/>
      <c r="D896" s="190"/>
      <c r="E896" s="183"/>
      <c r="F896" s="191"/>
      <c r="G896" s="481"/>
      <c r="H896" s="7"/>
      <c r="I896" s="255"/>
      <c r="J896" s="255"/>
      <c r="K896" s="37"/>
      <c r="L896" s="193"/>
      <c r="M896" s="193"/>
      <c r="N896" s="51" t="str">
        <f>IF(AND('331-CT'!$E$7=TH!H418,OR(L896="331",M896="331")),"331",IF(AND(OR(L896="131",M896="131"),H896='131-CT'!$E$7),"131",""))</f>
        <v/>
      </c>
      <c r="O896" s="891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IF(OR(TH!L418=TH!$W$7,M896=TH!$W$7),"x","")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IF(AND(OR(LEFT(TH!L418,2)="15",LEFT(TH!M418,2)="15"),'152-CT'!$J$8=TH!F418),"x","")</f>
        <v/>
      </c>
      <c r="Z896" s="51" t="str">
        <f>IF(AND(OR(LEFT(TH!L418,2)="15",LEFT(TH!M418,2)="15"),TK!$E$7=TH!F418),"x","")</f>
        <v/>
      </c>
      <c r="AA896" s="51" t="str">
        <f>IF(AND(B896&lt;=NKC!$N$8,B896&gt;=NKC!$M$8),"x","")</f>
        <v/>
      </c>
      <c r="AB896" s="923"/>
      <c r="AC896" s="589"/>
      <c r="AD896" s="589"/>
      <c r="AF896" s="589"/>
      <c r="AG896" s="589"/>
    </row>
    <row r="897" spans="1:33" s="210" customFormat="1" ht="15.75" hidden="1" customHeight="1">
      <c r="A897" s="203" t="str">
        <f>IF(B897&lt;&gt;"",IF(AND(B897&gt;=_TM1,B897&lt;=_TM2,OR(TH!L897="1111",TH!M897="1111")),TH!D897,""),"")</f>
        <v/>
      </c>
      <c r="B897" s="36" t="str">
        <f t="shared" si="44"/>
        <v/>
      </c>
      <c r="C897" s="183"/>
      <c r="D897" s="190"/>
      <c r="E897" s="183"/>
      <c r="F897" s="191"/>
      <c r="G897" s="481"/>
      <c r="H897" s="7"/>
      <c r="I897" s="255"/>
      <c r="J897" s="255"/>
      <c r="K897" s="597"/>
      <c r="L897" s="193"/>
      <c r="M897" s="193"/>
      <c r="N897" s="51" t="str">
        <f>IF(AND('331-CT'!$E$7=TH!H419,OR(L897="331",M897="331")),"331",IF(AND(OR(L897="131",M897="131"),H897='131-CT'!$E$7),"131",""))</f>
        <v/>
      </c>
      <c r="O897" s="891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IF(OR(TH!L419=TH!$W$7,M897=TH!$W$7),"x","")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IF(AND(OR(LEFT(TH!L419,2)="15",LEFT(TH!M419,2)="15"),'152-CT'!$J$8=TH!F419),"x","")</f>
        <v/>
      </c>
      <c r="Z897" s="51" t="str">
        <f>IF(AND(OR(LEFT(TH!L419,2)="15",LEFT(TH!M419,2)="15"),TK!$E$7=TH!F419),"x","")</f>
        <v/>
      </c>
      <c r="AA897" s="51" t="str">
        <f>IF(AND(B897&lt;=NKC!$N$8,B897&gt;=NKC!$M$8),"x","")</f>
        <v/>
      </c>
      <c r="AB897" s="923"/>
      <c r="AC897" s="589"/>
      <c r="AD897" s="589"/>
      <c r="AF897" s="589"/>
      <c r="AG897" s="589"/>
    </row>
    <row r="898" spans="1:33" s="210" customFormat="1" ht="15.75" hidden="1" customHeight="1">
      <c r="A898" s="203" t="str">
        <f>IF(B898&lt;&gt;"",IF(AND(B898&gt;=_TM1,B898&lt;=_TM2,OR(TH!L898="1111",TH!M898="1111")),TH!D898,""),"")</f>
        <v/>
      </c>
      <c r="B898" s="36" t="str">
        <f t="shared" si="44"/>
        <v/>
      </c>
      <c r="C898" s="183"/>
      <c r="D898" s="190"/>
      <c r="E898" s="183"/>
      <c r="F898" s="188"/>
      <c r="G898" s="481"/>
      <c r="H898" s="7"/>
      <c r="I898" s="255"/>
      <c r="J898" s="255"/>
      <c r="K898" s="37"/>
      <c r="L898" s="193"/>
      <c r="M898" s="193"/>
      <c r="N898" s="51" t="str">
        <f>IF(AND('331-CT'!$E$7=TH!H420,OR(L898="331",M898="331")),"331",IF(AND(OR(L898="131",M898="131"),H898='131-CT'!$E$7),"131",""))</f>
        <v/>
      </c>
      <c r="O898" s="891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IF(OR(TH!L420=TH!$W$7,M898=TH!$W$7),"x","")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IF(AND(OR(LEFT(TH!L420,2)="15",LEFT(TH!M420,2)="15"),'152-CT'!$J$8=TH!F420),"x","")</f>
        <v/>
      </c>
      <c r="Z898" s="51" t="str">
        <f>IF(AND(OR(LEFT(TH!L420,2)="15",LEFT(TH!M420,2)="15"),TK!$E$7=TH!F420),"x","")</f>
        <v/>
      </c>
      <c r="AA898" s="51" t="str">
        <f>IF(AND(B898&lt;=NKC!$N$8,B898&gt;=NKC!$M$8),"x","")</f>
        <v/>
      </c>
      <c r="AB898" s="923"/>
      <c r="AC898" s="589"/>
      <c r="AD898" s="589"/>
      <c r="AF898" s="589"/>
      <c r="AG898" s="589"/>
    </row>
    <row r="899" spans="1:33" s="210" customFormat="1" ht="15.75" hidden="1" customHeight="1">
      <c r="A899" s="203" t="str">
        <f>IF(B899&lt;&gt;"",IF(AND(B899&gt;=_TM1,B899&lt;=_TM2,OR(TH!L899="1111",TH!M899="1111")),TH!D899,""),"")</f>
        <v/>
      </c>
      <c r="B899" s="36" t="str">
        <f t="shared" si="44"/>
        <v/>
      </c>
      <c r="C899" s="183"/>
      <c r="D899" s="190"/>
      <c r="E899" s="183"/>
      <c r="F899" s="188"/>
      <c r="G899" s="481"/>
      <c r="H899" s="7"/>
      <c r="I899" s="255"/>
      <c r="J899" s="255"/>
      <c r="K899" s="597"/>
      <c r="L899" s="193"/>
      <c r="M899" s="193"/>
      <c r="N899" s="51" t="str">
        <f>IF(AND('331-CT'!$E$7=TH!H421,OR(L899="331",M899="331")),"331",IF(AND(OR(L899="131",M899="131"),H899='131-CT'!$E$7),"131",""))</f>
        <v/>
      </c>
      <c r="O899" s="891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IF(OR(TH!L421=TH!$W$7,M899=TH!$W$7),"x","")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IF(AND(OR(LEFT(TH!L421,2)="15",LEFT(TH!M421,2)="15"),'152-CT'!$J$8=TH!F421),"x","")</f>
        <v/>
      </c>
      <c r="Z899" s="51" t="str">
        <f>IF(AND(OR(LEFT(TH!L421,2)="15",LEFT(TH!M421,2)="15"),TK!$E$7=TH!F421),"x","")</f>
        <v/>
      </c>
      <c r="AA899" s="51" t="str">
        <f>IF(AND(B899&lt;=NKC!$N$8,B899&gt;=NKC!$M$8),"x","")</f>
        <v/>
      </c>
      <c r="AB899" s="923"/>
      <c r="AC899" s="589"/>
      <c r="AF899" s="589"/>
      <c r="AG899" s="589"/>
    </row>
    <row r="900" spans="1:33" s="210" customFormat="1" ht="15.75" hidden="1" customHeight="1">
      <c r="A900" s="203" t="str">
        <f>IF(B900&lt;&gt;"",IF(AND(B900&gt;=_TM1,B900&lt;=_TM2,OR(TH!L900="1111",TH!M900="1111")),TH!D900,""),"")</f>
        <v/>
      </c>
      <c r="B900" s="36" t="str">
        <f t="shared" si="44"/>
        <v/>
      </c>
      <c r="C900" s="183"/>
      <c r="D900" s="190"/>
      <c r="E900" s="190"/>
      <c r="F900" s="191"/>
      <c r="G900" s="481"/>
      <c r="H900" s="192"/>
      <c r="I900" s="255"/>
      <c r="J900" s="255"/>
      <c r="K900" s="37"/>
      <c r="L900" s="193"/>
      <c r="M900" s="193"/>
      <c r="N900" s="51" t="str">
        <f>IF(AND('331-CT'!$E$7=TH!H932,OR(L900="331",M900="331")),"331",IF(AND(OR(L900="131",M900="131"),H900='131-CT'!$E$7),"131",""))</f>
        <v/>
      </c>
      <c r="O900" s="891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IF(OR(TH!L932=TH!$W$7,M900=TH!$W$7),"x","")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IF(AND(OR(LEFT(TH!L932,2)="15",LEFT(TH!M932,2)="15"),'152-CT'!$J$8=TH!F932),"x","")</f>
        <v/>
      </c>
      <c r="Z900" s="51" t="str">
        <f>IF(AND(OR(LEFT(TH!L932,2)="15",LEFT(TH!M932,2)="15"),TK!$E$7=TH!F932),"x","")</f>
        <v/>
      </c>
      <c r="AA900" s="51" t="str">
        <f>IF(AND(B900&lt;=NKC!$N$8,B900&gt;=NKC!$M$8),"x","")</f>
        <v/>
      </c>
      <c r="AB900" s="923"/>
      <c r="AC900" s="589"/>
      <c r="AD900" s="589"/>
    </row>
    <row r="901" spans="1:33" s="210" customFormat="1" ht="15.75" hidden="1" customHeight="1">
      <c r="A901" s="203" t="str">
        <f>IF(B901&lt;&gt;"",IF(AND(B901&gt;=_TM1,B901&lt;=_TM2,OR(TH!L901="1111",TH!M901="1111")),TH!D901,""),"")</f>
        <v/>
      </c>
      <c r="B901" s="36" t="str">
        <f t="shared" ref="B901:B964" si="45">IF(C901&lt;&gt;"",MONTH(C901),"")</f>
        <v/>
      </c>
      <c r="C901" s="183"/>
      <c r="D901" s="190"/>
      <c r="E901" s="190"/>
      <c r="F901" s="191"/>
      <c r="G901" s="481"/>
      <c r="H901" s="192"/>
      <c r="I901" s="255"/>
      <c r="J901" s="255"/>
      <c r="K901" s="597"/>
      <c r="L901" s="193"/>
      <c r="M901" s="193"/>
      <c r="N901" s="51" t="str">
        <f>IF(AND('331-CT'!$E$7=TH!H933,OR(L901="331",M901="331")),"331",IF(AND(OR(L901="131",M901="131"),H901='131-CT'!$E$7),"131",""))</f>
        <v/>
      </c>
      <c r="O901" s="891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IF(OR(TH!L933=TH!$W$7,M901=TH!$W$7),"x","")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IF(AND(OR(LEFT(TH!L933,2)="15",LEFT(TH!M933,2)="15"),'152-CT'!$J$8=TH!F933),"x","")</f>
        <v/>
      </c>
      <c r="Z901" s="51" t="str">
        <f>IF(AND(OR(LEFT(TH!L933,2)="15",LEFT(TH!M933,2)="15"),TK!$E$7=TH!F933),"x","")</f>
        <v/>
      </c>
      <c r="AA901" s="51" t="str">
        <f>IF(AND(B901&lt;=NKC!$N$8,B901&gt;=NKC!$M$8),"x","")</f>
        <v/>
      </c>
      <c r="AB901" s="923"/>
      <c r="AC901" s="589"/>
    </row>
    <row r="902" spans="1:33" s="210" customFormat="1" ht="15.75" hidden="1" customHeight="1">
      <c r="A902" s="203" t="str">
        <f>IF(B902&lt;&gt;"",IF(AND(B902&gt;=_TM1,B902&lt;=_TM2,OR(TH!L902="1111",TH!M902="1111")),TH!D902,""),"")</f>
        <v/>
      </c>
      <c r="B902" s="36" t="str">
        <f t="shared" si="45"/>
        <v/>
      </c>
      <c r="C902" s="183"/>
      <c r="D902" s="190"/>
      <c r="E902" s="912"/>
      <c r="F902" s="919"/>
      <c r="G902" s="914"/>
      <c r="H902" s="782"/>
      <c r="I902" s="915"/>
      <c r="J902" s="915"/>
      <c r="K902" s="916"/>
      <c r="L902" s="917"/>
      <c r="M902" s="917"/>
      <c r="N902" s="51" t="str">
        <f>IF(AND('331-CT'!$E$7=TH!H934,OR(L902="331",M902="331")),"331",IF(AND(OR(L902="131",M902="131"),H902='131-CT'!$E$7),"131",""))</f>
        <v/>
      </c>
      <c r="O902" s="891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IF(OR(TH!L934=TH!$W$7,M902=TH!$W$7),"x","")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IF(AND(OR(LEFT(TH!L934,2)="15",LEFT(TH!M934,2)="15"),'152-CT'!$J$8=TH!F934),"x","")</f>
        <v/>
      </c>
      <c r="Z902" s="51" t="str">
        <f>IF(AND(OR(LEFT(TH!L934,2)="15",LEFT(TH!M934,2)="15"),TK!$E$7=TH!F934),"x","")</f>
        <v/>
      </c>
      <c r="AA902" s="51" t="str">
        <f>IF(AND(B902&lt;=NKC!$N$8,B902&gt;=NKC!$M$8),"x","")</f>
        <v/>
      </c>
      <c r="AB902" s="926"/>
      <c r="AC902" s="589"/>
      <c r="AD902" s="589"/>
    </row>
    <row r="903" spans="1:33" s="210" customFormat="1" ht="15.75" hidden="1" customHeight="1">
      <c r="A903" s="203" t="str">
        <f>IF(B903&lt;&gt;"",IF(AND(B903&gt;=_TM1,B903&lt;=_TM2,OR(TH!L903="1111",TH!M903="1111")),TH!D903,""),"")</f>
        <v/>
      </c>
      <c r="B903" s="36" t="str">
        <f t="shared" si="45"/>
        <v/>
      </c>
      <c r="C903" s="183"/>
      <c r="D903" s="190"/>
      <c r="E903" s="912"/>
      <c r="F903" s="919"/>
      <c r="G903" s="914"/>
      <c r="H903" s="782"/>
      <c r="I903" s="915"/>
      <c r="J903" s="915"/>
      <c r="K903" s="916"/>
      <c r="L903" s="917"/>
      <c r="M903" s="917"/>
      <c r="N903" s="51" t="str">
        <f>IF(AND('331-CT'!$E$7=TH!H935,OR(L903="331",M903="331")),"331",IF(AND(OR(L903="131",M903="131"),H903='131-CT'!$E$7),"131",""))</f>
        <v/>
      </c>
      <c r="O903" s="891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IF(OR(TH!L935=TH!$W$7,M903=TH!$W$7),"x","")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IF(AND(OR(LEFT(TH!L935,2)="15",LEFT(TH!M935,2)="15"),'152-CT'!$J$8=TH!F935),"x","")</f>
        <v/>
      </c>
      <c r="Z903" s="51" t="str">
        <f>IF(AND(OR(LEFT(TH!L935,2)="15",LEFT(TH!M935,2)="15"),TK!$E$7=TH!F935),"x","")</f>
        <v/>
      </c>
      <c r="AA903" s="51" t="str">
        <f>IF(AND(B903&lt;=NKC!$N$8,B903&gt;=NKC!$M$8),"x","")</f>
        <v/>
      </c>
      <c r="AB903" s="926"/>
      <c r="AC903" s="589"/>
      <c r="AD903" s="589"/>
    </row>
    <row r="904" spans="1:33" s="210" customFormat="1" ht="15.75" hidden="1" customHeight="1">
      <c r="A904" s="203" t="str">
        <f>IF(B904&lt;&gt;"",IF(AND(B904&gt;=_TM1,B904&lt;=_TM2,OR(TH!L904="1111",TH!M904="1111")),TH!D904,""),"")</f>
        <v/>
      </c>
      <c r="B904" s="36" t="str">
        <f t="shared" si="45"/>
        <v/>
      </c>
      <c r="C904" s="183"/>
      <c r="D904" s="190"/>
      <c r="E904" s="912"/>
      <c r="F904" s="919"/>
      <c r="G904" s="914"/>
      <c r="H904" s="782"/>
      <c r="I904" s="915"/>
      <c r="J904" s="915"/>
      <c r="K904" s="916"/>
      <c r="L904" s="917"/>
      <c r="M904" s="917"/>
      <c r="N904" s="51" t="str">
        <f>IF(AND('331-CT'!$E$7=TH!H936,OR(L904="331",M904="331")),"331",IF(AND(OR(L904="131",M904="131"),H904='131-CT'!$E$7),"131",""))</f>
        <v/>
      </c>
      <c r="O904" s="891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IF(OR(TH!L936=TH!$W$7,M904=TH!$W$7),"x","")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IF(AND(OR(LEFT(TH!L936,2)="15",LEFT(TH!M936,2)="15"),'152-CT'!$J$8=TH!F936),"x","")</f>
        <v/>
      </c>
      <c r="Z904" s="51" t="str">
        <f>IF(AND(OR(LEFT(TH!L936,2)="15",LEFT(TH!M936,2)="15"),TK!$E$7=TH!F936),"x","")</f>
        <v/>
      </c>
      <c r="AA904" s="51" t="str">
        <f>IF(AND(B904&lt;=NKC!$N$8,B904&gt;=NKC!$M$8),"x","")</f>
        <v/>
      </c>
      <c r="AB904" s="926"/>
      <c r="AC904" s="589"/>
    </row>
    <row r="905" spans="1:33" s="210" customFormat="1" ht="15.75" hidden="1" customHeight="1">
      <c r="A905" s="203" t="str">
        <f>IF(B905&lt;&gt;"",IF(AND(B905&gt;=_TM1,B905&lt;=_TM2,OR(TH!L905="1111",TH!M905="1111")),TH!D905,""),"")</f>
        <v/>
      </c>
      <c r="B905" s="36" t="str">
        <f t="shared" si="45"/>
        <v/>
      </c>
      <c r="C905" s="183"/>
      <c r="D905" s="190"/>
      <c r="E905" s="912"/>
      <c r="F905" s="919"/>
      <c r="G905" s="914"/>
      <c r="H905" s="782"/>
      <c r="I905" s="915"/>
      <c r="J905" s="915"/>
      <c r="K905" s="916"/>
      <c r="L905" s="917"/>
      <c r="M905" s="917"/>
      <c r="N905" s="51" t="str">
        <f>IF(AND('331-CT'!$E$7=TH!H937,OR(L905="331",M905="331")),"331",IF(AND(OR(L905="131",M905="131"),H905='131-CT'!$E$7),"131",""))</f>
        <v/>
      </c>
      <c r="O905" s="891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IF(OR(TH!L937=TH!$W$7,M905=TH!$W$7),"x","")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IF(AND(OR(LEFT(TH!L937,2)="15",LEFT(TH!M937,2)="15"),'152-CT'!$J$8=TH!F937),"x","")</f>
        <v/>
      </c>
      <c r="Z905" s="51" t="str">
        <f>IF(AND(OR(LEFT(TH!L937,2)="15",LEFT(TH!M937,2)="15"),TK!$E$7=TH!F937),"x","")</f>
        <v/>
      </c>
      <c r="AA905" s="51" t="str">
        <f>IF(AND(B905&lt;=NKC!$N$8,B905&gt;=NKC!$M$8),"x","")</f>
        <v/>
      </c>
      <c r="AB905" s="926"/>
      <c r="AC905" s="589"/>
      <c r="AD905" s="589"/>
    </row>
    <row r="906" spans="1:33" s="210" customFormat="1" ht="15.75" hidden="1" customHeight="1">
      <c r="A906" s="203" t="str">
        <f>IF(B906&lt;&gt;"",IF(AND(B906&gt;=_TM1,B906&lt;=_TM2,OR(TH!L906="1111",TH!M906="1111")),TH!D906,""),"")</f>
        <v/>
      </c>
      <c r="B906" s="36" t="str">
        <f t="shared" si="45"/>
        <v/>
      </c>
      <c r="C906" s="183"/>
      <c r="D906" s="190"/>
      <c r="E906" s="912"/>
      <c r="F906" s="919"/>
      <c r="G906" s="914"/>
      <c r="H906" s="782"/>
      <c r="I906" s="915"/>
      <c r="J906" s="915"/>
      <c r="K906" s="916"/>
      <c r="L906" s="917"/>
      <c r="M906" s="917"/>
      <c r="N906" s="51" t="str">
        <f>IF(AND('331-CT'!$E$7=TH!H938,OR(L906="331",M906="331")),"331",IF(AND(OR(L906="131",M906="131"),H906='131-CT'!$E$7),"131",""))</f>
        <v/>
      </c>
      <c r="O906" s="891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IF(OR(TH!L938=TH!$W$7,M906=TH!$W$7),"x","")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IF(AND(OR(LEFT(TH!L938,2)="15",LEFT(TH!M938,2)="15"),'152-CT'!$J$8=TH!F938),"x","")</f>
        <v/>
      </c>
      <c r="Z906" s="51" t="str">
        <f>IF(AND(OR(LEFT(TH!L938,2)="15",LEFT(TH!M938,2)="15"),TK!$E$7=TH!F938),"x","")</f>
        <v/>
      </c>
      <c r="AA906" s="51" t="str">
        <f>IF(AND(B906&lt;=NKC!$N$8,B906&gt;=NKC!$M$8),"x","")</f>
        <v/>
      </c>
      <c r="AB906" s="926"/>
      <c r="AC906" s="589"/>
    </row>
    <row r="907" spans="1:33" s="210" customFormat="1" ht="15.75" hidden="1" customHeight="1">
      <c r="A907" s="203" t="str">
        <f>IF(B907&lt;&gt;"",IF(AND(B907&gt;=_TM1,B907&lt;=_TM2,OR(TH!L907="1111",TH!M907="1111")),TH!D907,""),"")</f>
        <v/>
      </c>
      <c r="B907" s="36" t="str">
        <f t="shared" si="45"/>
        <v/>
      </c>
      <c r="C907" s="183"/>
      <c r="D907" s="190"/>
      <c r="E907" s="912"/>
      <c r="F907" s="919"/>
      <c r="G907" s="914"/>
      <c r="H907" s="782"/>
      <c r="I907" s="921"/>
      <c r="J907" s="921"/>
      <c r="K907" s="916"/>
      <c r="L907" s="917"/>
      <c r="M907" s="917"/>
      <c r="N907" s="51" t="str">
        <f>IF(AND('331-CT'!$E$7=TH!H939,OR(L907="331",M907="331")),"331",IF(AND(OR(L907="131",M907="131"),H907='131-CT'!$E$7),"131",""))</f>
        <v/>
      </c>
      <c r="O907" s="891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IF(OR(TH!L939=TH!$W$7,M907=TH!$W$7),"x","")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IF(AND(OR(LEFT(TH!L939,2)="15",LEFT(TH!M939,2)="15"),'152-CT'!$J$8=TH!F939),"x","")</f>
        <v/>
      </c>
      <c r="Z907" s="51" t="str">
        <f>IF(AND(OR(LEFT(TH!L939,2)="15",LEFT(TH!M939,2)="15"),TK!$E$7=TH!F939),"x","")</f>
        <v/>
      </c>
      <c r="AA907" s="51" t="str">
        <f>IF(AND(B907&lt;=NKC!$N$8,B907&gt;=NKC!$M$8),"x","")</f>
        <v/>
      </c>
      <c r="AB907" s="926"/>
      <c r="AC907" s="589"/>
      <c r="AD907" s="589"/>
    </row>
    <row r="908" spans="1:33" s="210" customFormat="1" ht="15.75" hidden="1" customHeight="1">
      <c r="A908" s="203" t="str">
        <f>IF(B908&lt;&gt;"",IF(AND(B908&gt;=_TM1,B908&lt;=_TM2,OR(TH!L908="1111",TH!M908="1111")),TH!D908,""),"")</f>
        <v/>
      </c>
      <c r="B908" s="36" t="str">
        <f t="shared" si="45"/>
        <v/>
      </c>
      <c r="C908" s="183"/>
      <c r="D908" s="190"/>
      <c r="E908" s="912"/>
      <c r="F908" s="919"/>
      <c r="G908" s="914"/>
      <c r="H908" s="782"/>
      <c r="I908" s="915"/>
      <c r="J908" s="915"/>
      <c r="K908" s="916"/>
      <c r="L908" s="917"/>
      <c r="M908" s="917"/>
      <c r="N908" s="51" t="str">
        <f>IF(AND('331-CT'!$E$7=TH!H940,OR(L908="331",M908="331")),"331",IF(AND(OR(L908="131",M908="131"),H908='131-CT'!$E$7),"131",""))</f>
        <v/>
      </c>
      <c r="O908" s="891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IF(OR(TH!L940=TH!$W$7,M908=TH!$W$7),"x","")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IF(AND(OR(LEFT(TH!L940,2)="15",LEFT(TH!M940,2)="15"),'152-CT'!$J$8=TH!F940),"x","")</f>
        <v/>
      </c>
      <c r="Z908" s="51" t="str">
        <f>IF(AND(OR(LEFT(TH!L940,2)="15",LEFT(TH!M940,2)="15"),TK!$E$7=TH!F940),"x","")</f>
        <v/>
      </c>
      <c r="AA908" s="51" t="str">
        <f>IF(AND(B908&lt;=NKC!$N$8,B908&gt;=NKC!$M$8),"x","")</f>
        <v/>
      </c>
      <c r="AB908" s="926"/>
      <c r="AC908" s="589"/>
    </row>
    <row r="909" spans="1:33" s="210" customFormat="1" ht="15.75" hidden="1" customHeight="1">
      <c r="A909" s="203" t="str">
        <f>IF(B909&lt;&gt;"",IF(AND(B909&gt;=_TM1,B909&lt;=_TM2,OR(TH!L909="1111",TH!M909="1111")),TH!D909,""),"")</f>
        <v/>
      </c>
      <c r="B909" s="36" t="str">
        <f t="shared" si="45"/>
        <v/>
      </c>
      <c r="C909" s="183"/>
      <c r="D909" s="190"/>
      <c r="E909" s="912"/>
      <c r="F909" s="919"/>
      <c r="G909" s="914"/>
      <c r="H909" s="782"/>
      <c r="I909" s="921"/>
      <c r="J909" s="921"/>
      <c r="K909" s="916"/>
      <c r="L909" s="917"/>
      <c r="M909" s="917"/>
      <c r="N909" s="51" t="str">
        <f>IF(AND('331-CT'!$E$7=TH!H941,OR(L909="331",M909="331")),"331",IF(AND(OR(L909="131",M909="131"),H909='131-CT'!$E$7),"131",""))</f>
        <v/>
      </c>
      <c r="O909" s="891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IF(OR(TH!L941=TH!$W$7,M909=TH!$W$7),"x","")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IF(AND(OR(LEFT(TH!L941,2)="15",LEFT(TH!M941,2)="15"),'152-CT'!$J$8=TH!F941),"x","")</f>
        <v/>
      </c>
      <c r="Z909" s="51" t="str">
        <f>IF(AND(OR(LEFT(TH!L941,2)="15",LEFT(TH!M941,2)="15"),TK!$E$7=TH!F941),"x","")</f>
        <v/>
      </c>
      <c r="AA909" s="51" t="str">
        <f>IF(AND(B909&lt;=NKC!$N$8,B909&gt;=NKC!$M$8),"x","")</f>
        <v/>
      </c>
      <c r="AB909" s="926"/>
      <c r="AC909" s="589"/>
      <c r="AD909" s="589"/>
    </row>
    <row r="910" spans="1:33" s="210" customFormat="1" ht="15.75" hidden="1" customHeight="1">
      <c r="A910" s="203" t="str">
        <f>IF(B910&lt;&gt;"",IF(AND(B910&gt;=_TM1,B910&lt;=_TM2,OR(TH!L910="1111",TH!M910="1111")),TH!D910,""),"")</f>
        <v/>
      </c>
      <c r="B910" s="36" t="str">
        <f t="shared" si="45"/>
        <v/>
      </c>
      <c r="C910" s="183"/>
      <c r="D910" s="190"/>
      <c r="E910" s="912"/>
      <c r="F910" s="919"/>
      <c r="G910" s="914"/>
      <c r="H910" s="782"/>
      <c r="I910" s="915"/>
      <c r="J910" s="915"/>
      <c r="K910" s="916"/>
      <c r="L910" s="917"/>
      <c r="M910" s="917"/>
      <c r="N910" s="51" t="str">
        <f>IF(AND('331-CT'!$E$7=TH!H942,OR(L910="331",M910="331")),"331",IF(AND(OR(L910="131",M910="131"),H910='131-CT'!$E$7),"131",""))</f>
        <v/>
      </c>
      <c r="O910" s="891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IF(OR(TH!L942=TH!$W$7,M910=TH!$W$7),"x","")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IF(AND(OR(LEFT(TH!L942,2)="15",LEFT(TH!M942,2)="15"),'152-CT'!$J$8=TH!F942),"x","")</f>
        <v/>
      </c>
      <c r="Z910" s="51" t="str">
        <f>IF(AND(OR(LEFT(TH!L942,2)="15",LEFT(TH!M942,2)="15"),TK!$E$7=TH!F942),"x","")</f>
        <v/>
      </c>
      <c r="AA910" s="51" t="str">
        <f>IF(AND(B910&lt;=NKC!$N$8,B910&gt;=NKC!$M$8),"x","")</f>
        <v/>
      </c>
      <c r="AB910" s="926"/>
      <c r="AC910" s="589"/>
    </row>
    <row r="911" spans="1:33" s="210" customFormat="1" ht="15.75" hidden="1" customHeight="1">
      <c r="A911" s="203" t="str">
        <f>IF(B911&lt;&gt;"",IF(AND(B911&gt;=_TM1,B911&lt;=_TM2,OR(TH!L911="1111",TH!M911="1111")),TH!D911,""),"")</f>
        <v/>
      </c>
      <c r="B911" s="36" t="str">
        <f t="shared" si="45"/>
        <v/>
      </c>
      <c r="C911" s="183"/>
      <c r="D911" s="190"/>
      <c r="E911" s="912"/>
      <c r="F911" s="919"/>
      <c r="G911" s="914"/>
      <c r="H911" s="782"/>
      <c r="I911" s="915"/>
      <c r="J911" s="915"/>
      <c r="K911" s="922"/>
      <c r="L911" s="917"/>
      <c r="M911" s="917"/>
      <c r="N911" s="51" t="str">
        <f>IF(AND('331-CT'!$E$7=TH!H943,OR(L911="331",M911="331")),"331",IF(AND(OR(L911="131",M911="131"),H911='131-CT'!$E$7),"131",""))</f>
        <v/>
      </c>
      <c r="O911" s="891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IF(OR(TH!L943=TH!$W$7,M911=TH!$W$7),"x","")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IF(AND(OR(LEFT(TH!L943,2)="15",LEFT(TH!M943,2)="15"),'152-CT'!$J$8=TH!F943),"x","")</f>
        <v/>
      </c>
      <c r="Z911" s="51" t="str">
        <f>IF(AND(OR(LEFT(TH!L943,2)="15",LEFT(TH!M943,2)="15"),TK!$E$7=TH!F943),"x","")</f>
        <v/>
      </c>
      <c r="AA911" s="51" t="str">
        <f>IF(AND(B911&lt;=NKC!$N$8,B911&gt;=NKC!$M$8),"x","")</f>
        <v/>
      </c>
      <c r="AB911" s="926"/>
      <c r="AC911" s="589"/>
      <c r="AD911" s="589"/>
    </row>
    <row r="912" spans="1:33" s="210" customFormat="1" ht="15.75" hidden="1" customHeight="1">
      <c r="A912" s="203" t="str">
        <f>IF(B912&lt;&gt;"",IF(AND(B912&gt;=_TM1,B912&lt;=_TM2,OR(TH!L912="1111",TH!M912="1111")),TH!D912,""),"")</f>
        <v/>
      </c>
      <c r="B912" s="36" t="str">
        <f t="shared" si="45"/>
        <v/>
      </c>
      <c r="C912" s="183"/>
      <c r="D912" s="190"/>
      <c r="E912" s="190"/>
      <c r="F912" s="191"/>
      <c r="G912" s="481"/>
      <c r="H912" s="782"/>
      <c r="I912" s="255"/>
      <c r="J912" s="255"/>
      <c r="K912" s="37"/>
      <c r="L912" s="193"/>
      <c r="M912" s="193"/>
      <c r="N912" s="51" t="str">
        <f>IF(AND('331-CT'!$E$7=TH!H944,OR(L912="331",M912="331")),"331",IF(AND(OR(L912="131",M912="131"),H912='131-CT'!$E$7),"131",""))</f>
        <v/>
      </c>
      <c r="O912" s="891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IF(OR(TH!L944=TH!$W$7,M912=TH!$W$7),"x","")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IF(AND(OR(LEFT(TH!L944,2)="15",LEFT(TH!M944,2)="15"),'152-CT'!$J$8=TH!F944),"x","")</f>
        <v/>
      </c>
      <c r="Z912" s="51" t="str">
        <f>IF(AND(OR(LEFT(TH!L944,2)="15",LEFT(TH!M944,2)="15"),TK!$E$7=TH!F944),"x","")</f>
        <v/>
      </c>
      <c r="AA912" s="51" t="str">
        <f>IF(AND(B912&lt;=NKC!$N$8,B912&gt;=NKC!$M$8),"x","")</f>
        <v/>
      </c>
      <c r="AB912" s="923"/>
      <c r="AC912" s="589"/>
      <c r="AD912" s="589"/>
    </row>
    <row r="913" spans="1:30" s="210" customFormat="1" ht="15.75" hidden="1" customHeight="1">
      <c r="A913" s="203" t="str">
        <f>IF(B913&lt;&gt;"",IF(AND(B913&gt;=_TM1,B913&lt;=_TM2,OR(TH!L913="1111",TH!M913="1111")),TH!D913,""),"")</f>
        <v/>
      </c>
      <c r="B913" s="36" t="str">
        <f t="shared" si="45"/>
        <v/>
      </c>
      <c r="C913" s="183"/>
      <c r="D913" s="190"/>
      <c r="E913" s="190"/>
      <c r="F913" s="191"/>
      <c r="G913" s="481"/>
      <c r="H913" s="782"/>
      <c r="I913" s="255"/>
      <c r="J913" s="255"/>
      <c r="K913" s="37"/>
      <c r="L913" s="193"/>
      <c r="M913" s="193"/>
      <c r="N913" s="51" t="str">
        <f>IF(AND('331-CT'!$E$7=TH!H945,OR(L913="331",M913="331")),"331",IF(AND(OR(L913="131",M913="131"),H913='131-CT'!$E$7),"131",""))</f>
        <v/>
      </c>
      <c r="O913" s="891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IF(OR(TH!L945=TH!$W$7,M913=TH!$W$7),"x","")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IF(AND(OR(LEFT(TH!L945,2)="15",LEFT(TH!M945,2)="15"),'152-CT'!$J$8=TH!F945),"x","")</f>
        <v/>
      </c>
      <c r="Z913" s="51" t="str">
        <f>IF(AND(OR(LEFT(TH!L945,2)="15",LEFT(TH!M945,2)="15"),TK!$E$7=TH!F945),"x","")</f>
        <v/>
      </c>
      <c r="AA913" s="51" t="str">
        <f>IF(AND(B913&lt;=NKC!$N$8,B913&gt;=NKC!$M$8),"x","")</f>
        <v/>
      </c>
      <c r="AB913" s="923"/>
      <c r="AC913" s="589"/>
    </row>
    <row r="914" spans="1:30" s="210" customFormat="1" ht="15.75" hidden="1" customHeight="1">
      <c r="A914" s="203" t="str">
        <f>IF(B914&lt;&gt;"",IF(AND(B914&gt;=_TM1,B914&lt;=_TM2,OR(TH!L914="1111",TH!M914="1111")),TH!D914,""),"")</f>
        <v/>
      </c>
      <c r="B914" s="36" t="str">
        <f t="shared" si="45"/>
        <v/>
      </c>
      <c r="C914" s="183"/>
      <c r="D914" s="190"/>
      <c r="E914" s="771"/>
      <c r="F914" s="188"/>
      <c r="G914" s="481"/>
      <c r="H914" s="782"/>
      <c r="I914" s="258"/>
      <c r="J914" s="258"/>
      <c r="K914" s="37"/>
      <c r="L914" s="193"/>
      <c r="M914" s="193"/>
      <c r="N914" s="51" t="str">
        <f>IF(AND('331-CT'!$E$7=TH!H946,OR(L914="331",M914="331")),"331",IF(AND(OR(L914="131",M914="131"),H914='131-CT'!$E$7),"131",""))</f>
        <v/>
      </c>
      <c r="O914" s="891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IF(OR(TH!L946=TH!$W$7,M914=TH!$W$7),"x","")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IF(AND(OR(LEFT(TH!L946,2)="15",LEFT(TH!M946,2)="15"),'152-CT'!$J$8=TH!F946),"x","")</f>
        <v/>
      </c>
      <c r="Z914" s="51" t="str">
        <f>IF(AND(OR(LEFT(TH!L946,2)="15",LEFT(TH!M946,2)="15"),TK!$E$7=TH!F946),"x","")</f>
        <v/>
      </c>
      <c r="AA914" s="51" t="str">
        <f>IF(AND(B914&lt;=NKC!$N$8,B914&gt;=NKC!$M$8),"x","")</f>
        <v/>
      </c>
      <c r="AB914" s="923"/>
      <c r="AC914" s="589"/>
      <c r="AD914" s="589"/>
    </row>
    <row r="915" spans="1:30" s="210" customFormat="1" ht="15.75" hidden="1" customHeight="1">
      <c r="A915" s="203" t="str">
        <f>IF(B915&lt;&gt;"",IF(AND(B915&gt;=_TM1,B915&lt;=_TM2,OR(TH!L915="1111",TH!M915="1111")),TH!D915,""),"")</f>
        <v/>
      </c>
      <c r="B915" s="36" t="str">
        <f t="shared" si="45"/>
        <v/>
      </c>
      <c r="C915" s="183"/>
      <c r="D915" s="190"/>
      <c r="E915" s="771"/>
      <c r="F915" s="188"/>
      <c r="G915" s="481"/>
      <c r="H915" s="782"/>
      <c r="I915" s="255"/>
      <c r="J915" s="255"/>
      <c r="K915" s="37"/>
      <c r="L915" s="193"/>
      <c r="M915" s="193"/>
      <c r="N915" s="51" t="str">
        <f>IF(AND('331-CT'!$E$7=TH!H947,OR(L915="331",M915="331")),"331",IF(AND(OR(L915="131",M915="131"),H915='131-CT'!$E$7),"131",""))</f>
        <v/>
      </c>
      <c r="O915" s="891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IF(OR(TH!L947=TH!$W$7,M915=TH!$W$7),"x","")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IF(AND(OR(LEFT(TH!L947,2)="15",LEFT(TH!M947,2)="15"),'152-CT'!$J$8=TH!F947),"x","")</f>
        <v/>
      </c>
      <c r="Z915" s="51" t="str">
        <f>IF(AND(OR(LEFT(TH!L947,2)="15",LEFT(TH!M947,2)="15"),TK!$E$7=TH!F947),"x","")</f>
        <v/>
      </c>
      <c r="AA915" s="51" t="str">
        <f>IF(AND(B915&lt;=NKC!$N$8,B915&gt;=NKC!$M$8),"x","")</f>
        <v/>
      </c>
      <c r="AB915" s="923"/>
      <c r="AC915" s="589"/>
      <c r="AD915" s="589"/>
    </row>
    <row r="916" spans="1:30" s="210" customFormat="1" ht="15.75" hidden="1" customHeight="1">
      <c r="A916" s="203" t="str">
        <f>IF(B916&lt;&gt;"",IF(AND(B916&gt;=_TM1,B916&lt;=_TM2,OR(TH!L916="1111",TH!M916="1111")),TH!D916,""),"")</f>
        <v/>
      </c>
      <c r="B916" s="36" t="str">
        <f t="shared" si="45"/>
        <v/>
      </c>
      <c r="C916" s="183"/>
      <c r="D916" s="190"/>
      <c r="E916" s="771"/>
      <c r="F916" s="188"/>
      <c r="G916" s="481"/>
      <c r="H916" s="782"/>
      <c r="I916" s="255"/>
      <c r="J916" s="255"/>
      <c r="K916" s="37"/>
      <c r="L916" s="193"/>
      <c r="M916" s="193"/>
      <c r="N916" s="51" t="str">
        <f>IF(AND('331-CT'!$E$7=TH!H948,OR(L916="331",M916="331")),"331",IF(AND(OR(L916="131",M916="131"),H916='131-CT'!$E$7),"131",""))</f>
        <v/>
      </c>
      <c r="O916" s="891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IF(OR(TH!L948=TH!$W$7,M916=TH!$W$7),"x","")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IF(AND(OR(LEFT(TH!L948,2)="15",LEFT(TH!M948,2)="15"),'152-CT'!$J$8=TH!F948),"x","")</f>
        <v/>
      </c>
      <c r="Z916" s="51" t="str">
        <f>IF(AND(OR(LEFT(TH!L948,2)="15",LEFT(TH!M948,2)="15"),TK!$E$7=TH!F948),"x","")</f>
        <v/>
      </c>
      <c r="AA916" s="51" t="str">
        <f>IF(AND(B916&lt;=NKC!$N$8,B916&gt;=NKC!$M$8),"x","")</f>
        <v/>
      </c>
      <c r="AB916" s="923"/>
      <c r="AC916" s="589"/>
      <c r="AD916" s="589"/>
    </row>
    <row r="917" spans="1:30" s="210" customFormat="1" ht="15.75" hidden="1" customHeight="1">
      <c r="A917" s="203" t="str">
        <f>IF(B917&lt;&gt;"",IF(AND(B917&gt;=_TM1,B917&lt;=_TM2,OR(TH!L917="1111",TH!M917="1111")),TH!D917,""),"")</f>
        <v/>
      </c>
      <c r="B917" s="36" t="str">
        <f t="shared" si="45"/>
        <v/>
      </c>
      <c r="C917" s="183"/>
      <c r="D917" s="190"/>
      <c r="E917" s="183"/>
      <c r="F917" s="191"/>
      <c r="G917" s="481"/>
      <c r="H917" s="782"/>
      <c r="I917" s="255"/>
      <c r="J917" s="255"/>
      <c r="K917" s="37"/>
      <c r="L917" s="193"/>
      <c r="M917" s="193"/>
      <c r="N917" s="51" t="str">
        <f>IF(AND('331-CT'!$E$7=TH!H949,OR(L917="331",M917="331")),"331",IF(AND(OR(L917="131",M917="131"),H917='131-CT'!$E$7),"131",""))</f>
        <v/>
      </c>
      <c r="O917" s="891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IF(OR(TH!L949=TH!$W$7,M917=TH!$W$7),"x","")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IF(AND(OR(LEFT(TH!L949,2)="15",LEFT(TH!M949,2)="15"),'152-CT'!$J$8=TH!F949),"x","")</f>
        <v/>
      </c>
      <c r="Z917" s="51" t="str">
        <f>IF(AND(OR(LEFT(TH!L949,2)="15",LEFT(TH!M949,2)="15"),TK!$E$7=TH!F949),"x","")</f>
        <v/>
      </c>
      <c r="AA917" s="51" t="str">
        <f>IF(AND(B917&lt;=NKC!$N$8,B917&gt;=NKC!$M$8),"x","")</f>
        <v/>
      </c>
      <c r="AB917" s="923"/>
      <c r="AC917" s="589"/>
    </row>
    <row r="918" spans="1:30" s="210" customFormat="1" ht="15.75" hidden="1" customHeight="1">
      <c r="A918" s="203" t="str">
        <f>IF(B918&lt;&gt;"",IF(AND(B918&gt;=_TM1,B918&lt;=_TM2,OR(TH!L918="1111",TH!M918="1111")),TH!D918,""),"")</f>
        <v/>
      </c>
      <c r="B918" s="36" t="str">
        <f t="shared" si="45"/>
        <v/>
      </c>
      <c r="C918" s="183"/>
      <c r="D918" s="190"/>
      <c r="E918" s="183"/>
      <c r="F918" s="188"/>
      <c r="G918" s="481"/>
      <c r="H918" s="782"/>
      <c r="I918" s="255"/>
      <c r="J918" s="255"/>
      <c r="K918" s="37"/>
      <c r="L918" s="193"/>
      <c r="M918" s="193"/>
      <c r="N918" s="51" t="str">
        <f>IF(AND('331-CT'!$E$7=TH!H950,OR(L918="331",M918="331")),"331",IF(AND(OR(L918="131",M918="131"),H918='131-CT'!$E$7),"131",""))</f>
        <v/>
      </c>
      <c r="O918" s="891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IF(OR(TH!L950=TH!$W$7,M918=TH!$W$7),"x","")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IF(AND(OR(LEFT(TH!L950,2)="15",LEFT(TH!M950,2)="15"),'152-CT'!$J$8=TH!F950),"x","")</f>
        <v/>
      </c>
      <c r="Z918" s="51" t="str">
        <f>IF(AND(OR(LEFT(TH!L950,2)="15",LEFT(TH!M950,2)="15"),TK!$E$7=TH!F950),"x","")</f>
        <v/>
      </c>
      <c r="AA918" s="51" t="str">
        <f>IF(AND(B918&lt;=NKC!$N$8,B918&gt;=NKC!$M$8),"x","")</f>
        <v/>
      </c>
      <c r="AB918" s="923"/>
      <c r="AC918" s="589"/>
      <c r="AD918" s="589"/>
    </row>
    <row r="919" spans="1:30" s="210" customFormat="1" ht="15.75" hidden="1" customHeight="1">
      <c r="A919" s="203" t="str">
        <f>IF(B919&lt;&gt;"",IF(AND(B919&gt;=_TM1,B919&lt;=_TM2,OR(TH!L919="1111",TH!M919="1111")),TH!D919,""),"")</f>
        <v/>
      </c>
      <c r="B919" s="36" t="str">
        <f t="shared" si="45"/>
        <v/>
      </c>
      <c r="C919" s="183"/>
      <c r="D919" s="190"/>
      <c r="E919" s="183"/>
      <c r="F919" s="188"/>
      <c r="G919" s="481"/>
      <c r="H919" s="782"/>
      <c r="I919" s="255"/>
      <c r="J919" s="255"/>
      <c r="K919" s="37"/>
      <c r="L919" s="193"/>
      <c r="M919" s="193"/>
      <c r="N919" s="51" t="str">
        <f>IF(AND('331-CT'!$E$7=TH!H951,OR(L919="331",M919="331")),"331",IF(AND(OR(L919="131",M919="131"),H919='131-CT'!$E$7),"131",""))</f>
        <v/>
      </c>
      <c r="O919" s="891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IF(OR(TH!L951=TH!$W$7,M919=TH!$W$7),"x","")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IF(AND(OR(LEFT(TH!L951,2)="15",LEFT(TH!M951,2)="15"),'152-CT'!$J$8=TH!F951),"x","")</f>
        <v/>
      </c>
      <c r="Z919" s="51" t="str">
        <f>IF(AND(OR(LEFT(TH!L951,2)="15",LEFT(TH!M951,2)="15"),TK!$E$7=TH!F951),"x","")</f>
        <v/>
      </c>
      <c r="AA919" s="51" t="str">
        <f>IF(AND(B919&lt;=NKC!$N$8,B919&gt;=NKC!$M$8),"x","")</f>
        <v/>
      </c>
      <c r="AB919" s="923"/>
      <c r="AC919" s="589"/>
    </row>
    <row r="920" spans="1:30" s="210" customFormat="1" ht="15.75" hidden="1" customHeight="1">
      <c r="A920" s="203" t="str">
        <f>IF(B920&lt;&gt;"",IF(AND(B920&gt;=_TM1,B920&lt;=_TM2,OR(TH!L920="1111",TH!M920="1111")),TH!D920,""),"")</f>
        <v/>
      </c>
      <c r="B920" s="36" t="str">
        <f t="shared" si="45"/>
        <v/>
      </c>
      <c r="C920" s="183"/>
      <c r="D920" s="190"/>
      <c r="E920" s="183"/>
      <c r="F920" s="188"/>
      <c r="G920" s="481"/>
      <c r="H920" s="782"/>
      <c r="I920" s="255"/>
      <c r="J920" s="255"/>
      <c r="K920" s="37"/>
      <c r="L920" s="193"/>
      <c r="M920" s="193"/>
      <c r="N920" s="51" t="str">
        <f>IF(AND('331-CT'!$E$7=TH!H952,OR(L920="331",M920="331")),"331",IF(AND(OR(L920="131",M920="131"),H920='131-CT'!$E$7),"131",""))</f>
        <v/>
      </c>
      <c r="O920" s="891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IF(OR(TH!L952=TH!$W$7,M920=TH!$W$7),"x","")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IF(AND(OR(LEFT(TH!L952,2)="15",LEFT(TH!M952,2)="15"),'152-CT'!$J$8=TH!F952),"x","")</f>
        <v/>
      </c>
      <c r="Z920" s="51" t="str">
        <f>IF(AND(OR(LEFT(TH!L952,2)="15",LEFT(TH!M952,2)="15"),TK!$E$7=TH!F952),"x","")</f>
        <v/>
      </c>
      <c r="AA920" s="51" t="str">
        <f>IF(AND(B920&lt;=NKC!$N$8,B920&gt;=NKC!$M$8),"x","")</f>
        <v/>
      </c>
      <c r="AB920" s="923"/>
      <c r="AC920" s="589"/>
      <c r="AD920" s="589"/>
    </row>
    <row r="921" spans="1:30" s="210" customFormat="1" ht="15.75" hidden="1" customHeight="1">
      <c r="A921" s="203" t="str">
        <f>IF(B921&lt;&gt;"",IF(AND(B921&gt;=_TM1,B921&lt;=_TM2,OR(TH!L921="1111",TH!M921="1111")),TH!D921,""),"")</f>
        <v/>
      </c>
      <c r="B921" s="36" t="str">
        <f t="shared" si="45"/>
        <v/>
      </c>
      <c r="C921" s="183"/>
      <c r="D921" s="190"/>
      <c r="E921" s="183"/>
      <c r="F921" s="188"/>
      <c r="G921" s="481"/>
      <c r="H921" s="782"/>
      <c r="I921" s="255"/>
      <c r="J921" s="255"/>
      <c r="K921" s="597"/>
      <c r="L921" s="193"/>
      <c r="M921" s="193"/>
      <c r="N921" s="51" t="str">
        <f>IF(AND('331-CT'!$E$7=TH!H953,OR(L921="331",M921="331")),"331",IF(AND(OR(L921="131",M921="131"),H921='131-CT'!$E$7),"131",""))</f>
        <v/>
      </c>
      <c r="O921" s="891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IF(OR(TH!L953=TH!$W$7,M921=TH!$W$7),"x","")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IF(AND(OR(LEFT(TH!L953,2)="15",LEFT(TH!M953,2)="15"),'152-CT'!$J$8=TH!F953),"x","")</f>
        <v/>
      </c>
      <c r="Z921" s="51" t="str">
        <f>IF(AND(OR(LEFT(TH!L953,2)="15",LEFT(TH!M953,2)="15"),TK!$E$7=TH!F953),"x","")</f>
        <v/>
      </c>
      <c r="AA921" s="51" t="str">
        <f>IF(AND(B921&lt;=NKC!$N$8,B921&gt;=NKC!$M$8),"x","")</f>
        <v/>
      </c>
      <c r="AB921" s="923"/>
      <c r="AC921" s="589"/>
    </row>
    <row r="922" spans="1:30" s="210" customFormat="1" ht="15.75" hidden="1" customHeight="1">
      <c r="A922" s="203" t="str">
        <f>IF(B922&lt;&gt;"",IF(AND(B922&gt;=_TM1,B922&lt;=_TM2,OR(TH!L922="1111",TH!M922="1111")),TH!D922,""),"")</f>
        <v/>
      </c>
      <c r="B922" s="36" t="str">
        <f t="shared" si="45"/>
        <v/>
      </c>
      <c r="C922" s="183"/>
      <c r="D922" s="190"/>
      <c r="E922" s="911"/>
      <c r="F922" s="918"/>
      <c r="G922" s="914"/>
      <c r="H922" s="782"/>
      <c r="I922" s="915"/>
      <c r="J922" s="915"/>
      <c r="K922" s="916"/>
      <c r="L922" s="917"/>
      <c r="M922" s="917"/>
      <c r="N922" s="51" t="str">
        <f>IF(AND('331-CT'!$E$7=TH!H954,OR(L922="331",M922="331")),"331",IF(AND(OR(L922="131",M922="131"),H922='131-CT'!$E$7),"131",""))</f>
        <v/>
      </c>
      <c r="O922" s="891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IF(OR(TH!L954=TH!$W$7,M922=TH!$W$7),"x","")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IF(AND(OR(LEFT(TH!L954,2)="15",LEFT(TH!M954,2)="15"),'152-CT'!$J$8=TH!F954),"x","")</f>
        <v/>
      </c>
      <c r="Z922" s="51" t="str">
        <f>IF(AND(OR(LEFT(TH!L954,2)="15",LEFT(TH!M954,2)="15"),TK!$E$7=TH!F954),"x","")</f>
        <v/>
      </c>
      <c r="AA922" s="51" t="str">
        <f>IF(AND(B922&lt;=NKC!$N$8,B922&gt;=NKC!$M$8),"x","")</f>
        <v/>
      </c>
      <c r="AB922" s="926"/>
      <c r="AC922" s="589"/>
      <c r="AD922" s="589"/>
    </row>
    <row r="923" spans="1:30" s="210" customFormat="1" ht="15.75" hidden="1" customHeight="1">
      <c r="A923" s="203" t="str">
        <f>IF(B923&lt;&gt;"",IF(AND(B923&gt;=_TM1,B923&lt;=_TM2,OR(TH!L923="1111",TH!M923="1111")),TH!D923,""),"")</f>
        <v/>
      </c>
      <c r="B923" s="36" t="str">
        <f t="shared" si="45"/>
        <v/>
      </c>
      <c r="C923" s="183"/>
      <c r="D923" s="190"/>
      <c r="E923" s="911"/>
      <c r="F923" s="918"/>
      <c r="G923" s="914"/>
      <c r="H923" s="782"/>
      <c r="I923" s="915"/>
      <c r="J923" s="915"/>
      <c r="K923" s="916"/>
      <c r="L923" s="917"/>
      <c r="M923" s="917"/>
      <c r="N923" s="51" t="str">
        <f>IF(AND('331-CT'!$E$7=TH!H955,OR(L923="331",M923="331")),"331",IF(AND(OR(L923="131",M923="131"),H923='131-CT'!$E$7),"131",""))</f>
        <v/>
      </c>
      <c r="O923" s="891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IF(OR(TH!L955=TH!$W$7,M923=TH!$W$7),"x","")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IF(AND(OR(LEFT(TH!L955,2)="15",LEFT(TH!M955,2)="15"),'152-CT'!$J$8=TH!F955),"x","")</f>
        <v/>
      </c>
      <c r="Z923" s="51" t="str">
        <f>IF(AND(OR(LEFT(TH!L955,2)="15",LEFT(TH!M955,2)="15"),TK!$E$7=TH!F955),"x","")</f>
        <v/>
      </c>
      <c r="AA923" s="51" t="str">
        <f>IF(AND(B923&lt;=NKC!$N$8,B923&gt;=NKC!$M$8),"x","")</f>
        <v/>
      </c>
      <c r="AB923" s="926"/>
      <c r="AC923" s="589"/>
      <c r="AD923" s="589"/>
    </row>
    <row r="924" spans="1:30" s="210" customFormat="1" ht="15.75" hidden="1" customHeight="1">
      <c r="A924" s="203" t="str">
        <f>IF(B924&lt;&gt;"",IF(AND(B924&gt;=_TM1,B924&lt;=_TM2,OR(TH!L924="1111",TH!M924="1111")),TH!D924,""),"")</f>
        <v/>
      </c>
      <c r="B924" s="36" t="str">
        <f t="shared" si="45"/>
        <v/>
      </c>
      <c r="C924" s="183"/>
      <c r="D924" s="190"/>
      <c r="E924" s="911"/>
      <c r="F924" s="918"/>
      <c r="G924" s="914"/>
      <c r="H924" s="782"/>
      <c r="I924" s="915"/>
      <c r="J924" s="915"/>
      <c r="K924" s="916"/>
      <c r="L924" s="917"/>
      <c r="M924" s="917"/>
      <c r="N924" s="51" t="str">
        <f>IF(AND('331-CT'!$E$7=TH!H956,OR(L924="331",M924="331")),"331",IF(AND(OR(L924="131",M924="131"),H924='131-CT'!$E$7),"131",""))</f>
        <v/>
      </c>
      <c r="O924" s="891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IF(OR(TH!L956=TH!$W$7,M924=TH!$W$7),"x","")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IF(AND(OR(LEFT(TH!L956,2)="15",LEFT(TH!M956,2)="15"),'152-CT'!$J$8=TH!F956),"x","")</f>
        <v/>
      </c>
      <c r="Z924" s="51" t="str">
        <f>IF(AND(OR(LEFT(TH!L956,2)="15",LEFT(TH!M956,2)="15"),TK!$E$7=TH!F956),"x","")</f>
        <v/>
      </c>
      <c r="AA924" s="51" t="str">
        <f>IF(AND(B924&lt;=NKC!$N$8,B924&gt;=NKC!$M$8),"x","")</f>
        <v/>
      </c>
      <c r="AB924" s="926"/>
      <c r="AC924" s="589"/>
    </row>
    <row r="925" spans="1:30" s="210" customFormat="1" ht="15.75" hidden="1" customHeight="1">
      <c r="A925" s="203" t="str">
        <f>IF(B925&lt;&gt;"",IF(AND(B925&gt;=_TM1,B925&lt;=_TM2,OR(TH!L925="1111",TH!M925="1111")),TH!D925,""),"")</f>
        <v/>
      </c>
      <c r="B925" s="36" t="str">
        <f t="shared" si="45"/>
        <v/>
      </c>
      <c r="C925" s="183"/>
      <c r="D925" s="190"/>
      <c r="E925" s="911"/>
      <c r="F925" s="918"/>
      <c r="G925" s="914"/>
      <c r="H925" s="782"/>
      <c r="I925" s="915"/>
      <c r="J925" s="915"/>
      <c r="K925" s="916"/>
      <c r="L925" s="917"/>
      <c r="M925" s="917"/>
      <c r="N925" s="51" t="str">
        <f>IF(AND('331-CT'!$E$7=TH!H957,OR(L925="331",M925="331")),"331",IF(AND(OR(L925="131",M925="131"),H925='131-CT'!$E$7),"131",""))</f>
        <v/>
      </c>
      <c r="O925" s="891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IF(OR(TH!L957=TH!$W$7,M925=TH!$W$7),"x","")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IF(AND(OR(LEFT(TH!L957,2)="15",LEFT(TH!M957,2)="15"),'152-CT'!$J$8=TH!F957),"x","")</f>
        <v/>
      </c>
      <c r="Z925" s="51" t="str">
        <f>IF(AND(OR(LEFT(TH!L957,2)="15",LEFT(TH!M957,2)="15"),TK!$E$7=TH!F957),"x","")</f>
        <v/>
      </c>
      <c r="AA925" s="51" t="str">
        <f>IF(AND(B925&lt;=NKC!$N$8,B925&gt;=NKC!$M$8),"x","")</f>
        <v/>
      </c>
      <c r="AB925" s="926"/>
      <c r="AC925" s="589"/>
      <c r="AD925" s="589"/>
    </row>
    <row r="926" spans="1:30" s="210" customFormat="1" ht="15.75" hidden="1" customHeight="1">
      <c r="A926" s="203" t="str">
        <f>IF(B926&lt;&gt;"",IF(AND(B926&gt;=_TM1,B926&lt;=_TM2,OR(TH!L926="1111",TH!M926="1111")),TH!D926,""),"")</f>
        <v/>
      </c>
      <c r="B926" s="36" t="str">
        <f t="shared" si="45"/>
        <v/>
      </c>
      <c r="C926" s="183"/>
      <c r="D926" s="190"/>
      <c r="E926" s="911"/>
      <c r="F926" s="919"/>
      <c r="G926" s="914"/>
      <c r="H926" s="782"/>
      <c r="I926" s="915"/>
      <c r="J926" s="915"/>
      <c r="K926" s="916"/>
      <c r="L926" s="917"/>
      <c r="M926" s="917"/>
      <c r="N926" s="51" t="str">
        <f>IF(AND('331-CT'!$E$7=TH!H958,OR(L926="331",M926="331")),"331",IF(AND(OR(L926="131",M926="131"),H926='131-CT'!$E$7),"131",""))</f>
        <v/>
      </c>
      <c r="O926" s="891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IF(OR(TH!L958=TH!$W$7,M926=TH!$W$7),"x","")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IF(AND(OR(LEFT(TH!L958,2)="15",LEFT(TH!M958,2)="15"),'152-CT'!$J$8=TH!F958),"x","")</f>
        <v/>
      </c>
      <c r="Z926" s="51" t="str">
        <f>IF(AND(OR(LEFT(TH!L958,2)="15",LEFT(TH!M958,2)="15"),TK!$E$7=TH!F958),"x","")</f>
        <v/>
      </c>
      <c r="AA926" s="51" t="str">
        <f>IF(AND(B926&lt;=NKC!$N$8,B926&gt;=NKC!$M$8),"x","")</f>
        <v/>
      </c>
      <c r="AB926" s="926"/>
      <c r="AC926" s="589"/>
      <c r="AD926" s="589"/>
    </row>
    <row r="927" spans="1:30" s="210" customFormat="1" ht="15.75" hidden="1" customHeight="1">
      <c r="A927" s="203" t="str">
        <f>IF(B927&lt;&gt;"",IF(AND(B927&gt;=_TM1,B927&lt;=_TM2,OR(TH!L927="1111",TH!M927="1111")),TH!D927,""),"")</f>
        <v/>
      </c>
      <c r="B927" s="36" t="str">
        <f t="shared" si="45"/>
        <v/>
      </c>
      <c r="C927" s="183"/>
      <c r="D927" s="190"/>
      <c r="E927" s="911"/>
      <c r="F927" s="918"/>
      <c r="G927" s="914"/>
      <c r="H927" s="782"/>
      <c r="I927" s="915"/>
      <c r="J927" s="915"/>
      <c r="K927" s="916"/>
      <c r="L927" s="917"/>
      <c r="M927" s="917"/>
      <c r="N927" s="51" t="str">
        <f>IF(AND('331-CT'!$E$7=TH!H959,OR(L927="331",M927="331")),"331",IF(AND(OR(L927="131",M927="131"),H927='131-CT'!$E$7),"131",""))</f>
        <v/>
      </c>
      <c r="O927" s="891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IF(OR(TH!L959=TH!$W$7,M927=TH!$W$7),"x","")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IF(AND(OR(LEFT(TH!L959,2)="15",LEFT(TH!M959,2)="15"),'152-CT'!$J$8=TH!F959),"x","")</f>
        <v/>
      </c>
      <c r="Z927" s="51" t="str">
        <f>IF(AND(OR(LEFT(TH!L959,2)="15",LEFT(TH!M959,2)="15"),TK!$E$7=TH!F959),"x","")</f>
        <v/>
      </c>
      <c r="AA927" s="51" t="str">
        <f>IF(AND(B927&lt;=NKC!$N$8,B927&gt;=NKC!$M$8),"x","")</f>
        <v/>
      </c>
      <c r="AB927" s="926"/>
      <c r="AC927" s="589"/>
    </row>
    <row r="928" spans="1:30" s="210" customFormat="1" ht="15.75" hidden="1" customHeight="1">
      <c r="A928" s="203" t="str">
        <f>IF(B928&lt;&gt;"",IF(AND(B928&gt;=_TM1,B928&lt;=_TM2,OR(TH!L928="1111",TH!M928="1111")),TH!D928,""),"")</f>
        <v/>
      </c>
      <c r="B928" s="36" t="str">
        <f t="shared" si="45"/>
        <v/>
      </c>
      <c r="C928" s="183"/>
      <c r="D928" s="190"/>
      <c r="E928" s="911"/>
      <c r="F928" s="918"/>
      <c r="G928" s="914"/>
      <c r="H928" s="782"/>
      <c r="I928" s="915"/>
      <c r="J928" s="915"/>
      <c r="K928" s="916"/>
      <c r="L928" s="917"/>
      <c r="M928" s="917"/>
      <c r="N928" s="51" t="str">
        <f>IF(AND('331-CT'!$E$7=TH!H960,OR(L928="331",M928="331")),"331",IF(AND(OR(L928="131",M928="131"),H928='131-CT'!$E$7),"131",""))</f>
        <v/>
      </c>
      <c r="O928" s="891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IF(OR(TH!L960=TH!$W$7,M928=TH!$W$7),"x","")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IF(AND(OR(LEFT(TH!L960,2)="15",LEFT(TH!M960,2)="15"),'152-CT'!$J$8=TH!F960),"x","")</f>
        <v/>
      </c>
      <c r="Z928" s="51" t="str">
        <f>IF(AND(OR(LEFT(TH!L960,2)="15",LEFT(TH!M960,2)="15"),TK!$E$7=TH!F960),"x","")</f>
        <v/>
      </c>
      <c r="AA928" s="51" t="str">
        <f>IF(AND(B928&lt;=NKC!$N$8,B928&gt;=NKC!$M$8),"x","")</f>
        <v/>
      </c>
      <c r="AB928" s="926"/>
      <c r="AC928" s="589"/>
      <c r="AD928" s="589"/>
    </row>
    <row r="929" spans="1:33" s="210" customFormat="1" ht="15.75" hidden="1" customHeight="1">
      <c r="A929" s="203" t="str">
        <f>IF(B929&lt;&gt;"",IF(AND(B929&gt;=_TM1,B929&lt;=_TM2,OR(TH!L929="1111",TH!M929="1111")),TH!D929,""),"")</f>
        <v/>
      </c>
      <c r="B929" s="36" t="str">
        <f t="shared" si="45"/>
        <v/>
      </c>
      <c r="C929" s="183"/>
      <c r="D929" s="190"/>
      <c r="E929" s="911"/>
      <c r="F929" s="918"/>
      <c r="G929" s="914"/>
      <c r="H929" s="782"/>
      <c r="I929" s="915"/>
      <c r="J929" s="915"/>
      <c r="K929" s="916"/>
      <c r="L929" s="917"/>
      <c r="M929" s="917"/>
      <c r="N929" s="51" t="str">
        <f>IF(AND('331-CT'!$E$7=TH!H961,OR(L929="331",M929="331")),"331",IF(AND(OR(L929="131",M929="131"),H929='131-CT'!$E$7),"131",""))</f>
        <v/>
      </c>
      <c r="O929" s="891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IF(OR(TH!L961=TH!$W$7,M929=TH!$W$7),"x","")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IF(AND(OR(LEFT(TH!L961,2)="15",LEFT(TH!M961,2)="15"),'152-CT'!$J$8=TH!F961),"x","")</f>
        <v/>
      </c>
      <c r="Z929" s="51" t="str">
        <f>IF(AND(OR(LEFT(TH!L961,2)="15",LEFT(TH!M961,2)="15"),TK!$E$7=TH!F961),"x","")</f>
        <v/>
      </c>
      <c r="AA929" s="51" t="str">
        <f>IF(AND(B929&lt;=NKC!$N$8,B929&gt;=NKC!$M$8),"x","")</f>
        <v/>
      </c>
      <c r="AB929" s="926"/>
      <c r="AC929" s="589"/>
      <c r="AD929" s="589"/>
    </row>
    <row r="930" spans="1:33" s="210" customFormat="1" ht="15.75" hidden="1" customHeight="1">
      <c r="A930" s="203" t="str">
        <f>IF(B930&lt;&gt;"",IF(AND(B930&gt;=_TM1,B930&lt;=_TM2,OR(TH!L930="1111",TH!M930="1111")),TH!D930,""),"")</f>
        <v/>
      </c>
      <c r="B930" s="36" t="str">
        <f t="shared" si="45"/>
        <v/>
      </c>
      <c r="C930" s="183"/>
      <c r="D930" s="190"/>
      <c r="E930" s="911"/>
      <c r="F930" s="918"/>
      <c r="G930" s="914"/>
      <c r="H930" s="782"/>
      <c r="I930" s="915"/>
      <c r="J930" s="915"/>
      <c r="K930" s="916"/>
      <c r="L930" s="917"/>
      <c r="M930" s="917"/>
      <c r="N930" s="51" t="str">
        <f>IF(AND('331-CT'!$E$7=TH!H962,OR(L930="331",M930="331")),"331",IF(AND(OR(L930="131",M930="131"),H930='131-CT'!$E$7),"131",""))</f>
        <v/>
      </c>
      <c r="O930" s="891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IF(OR(TH!L962=TH!$W$7,M930=TH!$W$7),"x","")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IF(AND(OR(LEFT(TH!L962,2)="15",LEFT(TH!M962,2)="15"),'152-CT'!$J$8=TH!F962),"x","")</f>
        <v/>
      </c>
      <c r="Z930" s="51" t="str">
        <f>IF(AND(OR(LEFT(TH!L962,2)="15",LEFT(TH!M962,2)="15"),TK!$E$7=TH!F962),"x","")</f>
        <v/>
      </c>
      <c r="AA930" s="51" t="str">
        <f>IF(AND(B930&lt;=NKC!$N$8,B930&gt;=NKC!$M$8),"x","")</f>
        <v/>
      </c>
      <c r="AB930" s="926"/>
      <c r="AC930" s="589"/>
      <c r="AD930" s="589"/>
    </row>
    <row r="931" spans="1:33" s="210" customFormat="1" ht="15.75" hidden="1" customHeight="1">
      <c r="A931" s="203" t="str">
        <f>IF(B931&lt;&gt;"",IF(AND(B931&gt;=_TM1,B931&lt;=_TM2,OR(TH!L931="1111",TH!M931="1111")),TH!D931,""),"")</f>
        <v/>
      </c>
      <c r="B931" s="36" t="str">
        <f t="shared" si="45"/>
        <v/>
      </c>
      <c r="C931" s="183"/>
      <c r="D931" s="190"/>
      <c r="E931" s="911"/>
      <c r="F931" s="918"/>
      <c r="G931" s="914"/>
      <c r="H931" s="782"/>
      <c r="I931" s="915"/>
      <c r="J931" s="915"/>
      <c r="K931" s="922"/>
      <c r="L931" s="917"/>
      <c r="M931" s="917"/>
      <c r="N931" s="51" t="str">
        <f>IF(AND('331-CT'!$E$7=TH!H963,OR(L931="331",M931="331")),"331",IF(AND(OR(L931="131",M931="131"),H931='131-CT'!$E$7),"131",""))</f>
        <v/>
      </c>
      <c r="O931" s="891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IF(OR(TH!L963=TH!$W$7,M931=TH!$W$7),"x","")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IF(AND(OR(LEFT(TH!L963,2)="15",LEFT(TH!M963,2)="15"),'152-CT'!$J$8=TH!F963),"x","")</f>
        <v/>
      </c>
      <c r="Z931" s="51" t="str">
        <f>IF(AND(OR(LEFT(TH!L963,2)="15",LEFT(TH!M963,2)="15"),TK!$E$7=TH!F963),"x","")</f>
        <v/>
      </c>
      <c r="AA931" s="51" t="str">
        <f>IF(AND(B931&lt;=NKC!$N$8,B931&gt;=NKC!$M$8),"x","")</f>
        <v/>
      </c>
      <c r="AB931" s="926"/>
      <c r="AC931" s="589"/>
    </row>
    <row r="932" spans="1:33" s="210" customFormat="1" ht="15.75" hidden="1" customHeight="1">
      <c r="A932" s="203" t="str">
        <f>IF(B932&lt;&gt;"",IF(AND(B932&gt;=_TM1,B932&lt;=_TM2,OR(TH!L932="1111",TH!M932="1111")),TH!D932,""),"")</f>
        <v/>
      </c>
      <c r="B932" s="36" t="str">
        <f t="shared" si="45"/>
        <v/>
      </c>
      <c r="C932" s="183"/>
      <c r="D932" s="190"/>
      <c r="E932" s="183"/>
      <c r="F932" s="191"/>
      <c r="G932" s="481"/>
      <c r="H932" s="901"/>
      <c r="I932" s="255"/>
      <c r="J932" s="255"/>
      <c r="K932" s="37"/>
      <c r="L932" s="193"/>
      <c r="M932" s="193"/>
      <c r="N932" s="51" t="str">
        <f>IF(AND('331-CT'!$E$7=TH!H964,OR(L932="331",M932="331")),"331",IF(AND(OR(L932="131",M932="131"),H932='131-CT'!$E$7),"131",""))</f>
        <v/>
      </c>
      <c r="O932" s="891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IF(OR(TH!L964=TH!$W$7,M932=TH!$W$7),"x","")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IF(AND(OR(LEFT(TH!L964,2)="15",LEFT(TH!M964,2)="15"),'152-CT'!$J$8=TH!F964),"x","")</f>
        <v/>
      </c>
      <c r="Z932" s="51" t="str">
        <f>IF(AND(OR(LEFT(TH!L964,2)="15",LEFT(TH!M964,2)="15"),TK!$E$7=TH!F964),"x","")</f>
        <v/>
      </c>
      <c r="AA932" s="51" t="str">
        <f>IF(AND(B932&lt;=NKC!$N$8,B932&gt;=NKC!$M$8),"x","")</f>
        <v/>
      </c>
      <c r="AB932" s="923"/>
      <c r="AC932" s="589"/>
      <c r="AD932" s="589"/>
    </row>
    <row r="933" spans="1:33" s="210" customFormat="1" ht="15.75" hidden="1" customHeight="1">
      <c r="A933" s="203" t="str">
        <f>IF(B933&lt;&gt;"",IF(AND(B933&gt;=_TM1,B933&lt;=_TM2,OR(TH!L933="1111",TH!M933="1111")),TH!D933,""),"")</f>
        <v/>
      </c>
      <c r="B933" s="36" t="str">
        <f t="shared" si="45"/>
        <v/>
      </c>
      <c r="C933" s="183"/>
      <c r="D933" s="190"/>
      <c r="E933" s="183"/>
      <c r="F933" s="191"/>
      <c r="G933" s="481"/>
      <c r="H933" s="901"/>
      <c r="I933" s="255"/>
      <c r="J933" s="255"/>
      <c r="K933" s="37"/>
      <c r="L933" s="193"/>
      <c r="M933" s="193"/>
      <c r="N933" s="51" t="str">
        <f>IF(AND('331-CT'!$E$7=TH!H965,OR(L933="331",M933="331")),"331",IF(AND(OR(L933="131",M933="131"),H933='131-CT'!$E$7),"131",""))</f>
        <v/>
      </c>
      <c r="O933" s="891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IF(OR(TH!L965=TH!$W$7,M933=TH!$W$7),"x","")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IF(AND(OR(LEFT(TH!L965,2)="15",LEFT(TH!M965,2)="15"),'152-CT'!$J$8=TH!F965),"x","")</f>
        <v/>
      </c>
      <c r="Z933" s="51" t="str">
        <f>IF(AND(OR(LEFT(TH!L965,2)="15",LEFT(TH!M965,2)="15"),TK!$E$7=TH!F965),"x","")</f>
        <v/>
      </c>
      <c r="AA933" s="51" t="str">
        <f>IF(AND(B933&lt;=NKC!$N$8,B933&gt;=NKC!$M$8),"x","")</f>
        <v/>
      </c>
      <c r="AB933" s="923"/>
      <c r="AC933" s="589"/>
      <c r="AD933" s="589"/>
    </row>
    <row r="934" spans="1:33" s="210" customFormat="1" ht="15.75" hidden="1" customHeight="1">
      <c r="A934" s="203" t="str">
        <f>IF(B934&lt;&gt;"",IF(AND(B934&gt;=_TM1,B934&lt;=_TM2,OR(TH!L934="1111",TH!M934="1111")),TH!D934,""),"")</f>
        <v/>
      </c>
      <c r="B934" s="36" t="str">
        <f t="shared" si="45"/>
        <v/>
      </c>
      <c r="C934" s="183"/>
      <c r="D934" s="190"/>
      <c r="E934" s="183"/>
      <c r="F934" s="188"/>
      <c r="G934" s="481"/>
      <c r="H934" s="901"/>
      <c r="I934" s="255"/>
      <c r="J934" s="255"/>
      <c r="K934" s="597"/>
      <c r="L934" s="193"/>
      <c r="M934" s="193"/>
      <c r="N934" s="51" t="str">
        <f>IF(AND('331-CT'!$E$7=TH!H966,OR(L934="331",M934="331")),"331",IF(AND(OR(L934="131",M934="131"),H934='131-CT'!$E$7),"131",""))</f>
        <v/>
      </c>
      <c r="O934" s="891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IF(OR(TH!L966=TH!$W$7,M934=TH!$W$7),"x","")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IF(AND(OR(LEFT(TH!L966,2)="15",LEFT(TH!M966,2)="15"),'152-CT'!$J$8=TH!F966),"x","")</f>
        <v/>
      </c>
      <c r="Z934" s="51" t="str">
        <f>IF(AND(OR(LEFT(TH!L966,2)="15",LEFT(TH!M966,2)="15"),TK!$E$7=TH!F966),"x","")</f>
        <v/>
      </c>
      <c r="AA934" s="51" t="str">
        <f>IF(AND(B934&lt;=NKC!$N$8,B934&gt;=NKC!$M$8),"x","")</f>
        <v/>
      </c>
      <c r="AB934" s="923"/>
      <c r="AC934" s="589"/>
    </row>
    <row r="935" spans="1:33" s="210" customFormat="1" ht="15.75" hidden="1" customHeight="1">
      <c r="A935" s="203" t="str">
        <f>IF(B935&lt;&gt;"",IF(AND(B935&gt;=_TM1,B935&lt;=_TM2,OR(TH!L935="1111",TH!M935="1111")),TH!D935,""),"")</f>
        <v/>
      </c>
      <c r="B935" s="36" t="str">
        <f t="shared" si="45"/>
        <v/>
      </c>
      <c r="C935" s="183"/>
      <c r="D935" s="190"/>
      <c r="E935" s="183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IF(AND('331-CT'!$E$7=TH!H967,OR(L935="331",M935="331")),"331",IF(AND(OR(L935="131",M935="131"),H935='131-CT'!$E$7),"131",""))</f>
        <v/>
      </c>
      <c r="O935" s="891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IF(OR(TH!L967=TH!$W$7,M935=TH!$W$7),"x","")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IF(AND(OR(LEFT(TH!L967,2)="15",LEFT(TH!M967,2)="15"),'152-CT'!$J$8=TH!F967),"x","")</f>
        <v/>
      </c>
      <c r="Z935" s="51" t="str">
        <f>IF(AND(OR(LEFT(TH!L967,2)="15",LEFT(TH!M967,2)="15"),TK!$E$7=TH!F967),"x","")</f>
        <v/>
      </c>
      <c r="AA935" s="51" t="str">
        <f>IF(AND(B935&lt;=NKC!$N$8,B935&gt;=NKC!$M$8),"x","")</f>
        <v/>
      </c>
      <c r="AB935" s="923"/>
      <c r="AC935" s="589"/>
      <c r="AD935" s="589"/>
    </row>
    <row r="936" spans="1:33" s="210" customFormat="1" ht="15.75" hidden="1" customHeight="1">
      <c r="A936" s="203" t="str">
        <f>IF(B936&lt;&gt;"",IF(AND(B936&gt;=_TM1,B936&lt;=_TM2,OR(TH!L936="1111",TH!M936="1111")),TH!D936,""),"")</f>
        <v/>
      </c>
      <c r="B936" s="36" t="str">
        <f t="shared" si="45"/>
        <v/>
      </c>
      <c r="C936" s="183"/>
      <c r="D936" s="190"/>
      <c r="E936" s="183"/>
      <c r="F936" s="188"/>
      <c r="G936" s="481"/>
      <c r="H936" s="192"/>
      <c r="I936" s="255"/>
      <c r="J936" s="255"/>
      <c r="K936" s="37"/>
      <c r="L936" s="193"/>
      <c r="M936" s="193"/>
      <c r="N936" s="51" t="str">
        <f>IF(AND('331-CT'!$E$7=TH!H968,OR(L936="331",M936="331")),"331",IF(AND(OR(L936="131",M936="131"),H936='131-CT'!$E$7),"131",""))</f>
        <v/>
      </c>
      <c r="O936" s="891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IF(OR(TH!L968=TH!$W$7,M936=TH!$W$7),"x","")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IF(AND(OR(LEFT(TH!L968,2)="15",LEFT(TH!M968,2)="15"),'152-CT'!$J$8=TH!F968),"x","")</f>
        <v/>
      </c>
      <c r="Z936" s="51" t="str">
        <f>IF(AND(OR(LEFT(TH!L968,2)="15",LEFT(TH!M968,2)="15"),TK!$E$7=TH!F968),"x","")</f>
        <v/>
      </c>
      <c r="AA936" s="51" t="str">
        <f>IF(AND(B936&lt;=NKC!$N$8,B936&gt;=NKC!$M$8),"x","")</f>
        <v/>
      </c>
      <c r="AB936" s="923"/>
      <c r="AC936" s="589"/>
      <c r="AD936" s="589"/>
    </row>
    <row r="937" spans="1:33" s="210" customFormat="1" ht="15.75" hidden="1" customHeight="1">
      <c r="A937" s="203" t="str">
        <f>IF(B937&lt;&gt;"",IF(AND(B937&gt;=_TM1,B937&lt;=_TM2,OR(TH!L937="1111",TH!M937="1111")),TH!D937,""),"")</f>
        <v/>
      </c>
      <c r="B937" s="36" t="str">
        <f t="shared" si="45"/>
        <v/>
      </c>
      <c r="C937" s="183"/>
      <c r="D937" s="190"/>
      <c r="E937" s="183"/>
      <c r="F937" s="188"/>
      <c r="G937" s="481"/>
      <c r="H937" s="192"/>
      <c r="I937" s="255"/>
      <c r="J937" s="255"/>
      <c r="K937" s="37"/>
      <c r="L937" s="193"/>
      <c r="M937" s="193"/>
      <c r="N937" s="51" t="str">
        <f>IF(AND('331-CT'!$E$7=TH!H969,OR(L937="331",M937="331")),"331",IF(AND(OR(L937="131",M937="131"),H937='131-CT'!$E$7),"131",""))</f>
        <v/>
      </c>
      <c r="O937" s="891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IF(OR(TH!L969=TH!$W$7,M937=TH!$W$7),"x","")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IF(AND(OR(LEFT(TH!L969,2)="15",LEFT(TH!M969,2)="15"),'152-CT'!$J$8=TH!F969),"x","")</f>
        <v/>
      </c>
      <c r="Z937" s="51" t="str">
        <f>IF(AND(OR(LEFT(TH!L969,2)="15",LEFT(TH!M969,2)="15"),TK!$E$7=TH!F969),"x","")</f>
        <v/>
      </c>
      <c r="AA937" s="51" t="str">
        <f>IF(AND(B937&lt;=NKC!$N$8,B937&gt;=NKC!$M$8),"x","")</f>
        <v/>
      </c>
      <c r="AB937" s="923"/>
      <c r="AC937" s="589"/>
    </row>
    <row r="938" spans="1:33" s="210" customFormat="1" ht="15.75" hidden="1" customHeight="1">
      <c r="A938" s="203" t="str">
        <f>IF(B938&lt;&gt;"",IF(AND(B938&gt;=_TM1,B938&lt;=_TM2,OR(TH!L938="1111",TH!M938="1111")),TH!D938,""),"")</f>
        <v/>
      </c>
      <c r="B938" s="36" t="str">
        <f t="shared" si="45"/>
        <v/>
      </c>
      <c r="C938" s="183"/>
      <c r="D938" s="190"/>
      <c r="E938" s="183"/>
      <c r="F938" s="188"/>
      <c r="G938" s="481"/>
      <c r="H938" s="192"/>
      <c r="I938" s="255"/>
      <c r="J938" s="255"/>
      <c r="K938" s="37"/>
      <c r="L938" s="193"/>
      <c r="M938" s="193"/>
      <c r="N938" s="51" t="str">
        <f>IF(AND('331-CT'!$E$7=TH!H970,OR(L938="331",M938="331")),"331",IF(AND(OR(L938="131",M938="131"),H938='131-CT'!$E$7),"131",""))</f>
        <v/>
      </c>
      <c r="O938" s="891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IF(OR(TH!L970=TH!$W$7,M938=TH!$W$7),"x","")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IF(AND(OR(LEFT(TH!L970,2)="15",LEFT(TH!M970,2)="15"),'152-CT'!$J$8=TH!F970),"x","")</f>
        <v/>
      </c>
      <c r="Z938" s="51" t="str">
        <f>IF(AND(OR(LEFT(TH!L970,2)="15",LEFT(TH!M970,2)="15"),TK!$E$7=TH!F970),"x","")</f>
        <v/>
      </c>
      <c r="AA938" s="51" t="str">
        <f>IF(AND(B938&lt;=NKC!$N$8,B938&gt;=NKC!$M$8),"x","")</f>
        <v/>
      </c>
      <c r="AB938" s="923"/>
      <c r="AC938" s="589"/>
      <c r="AD938" s="589"/>
    </row>
    <row r="939" spans="1:33" s="210" customFormat="1" ht="15.75" hidden="1" customHeight="1">
      <c r="A939" s="203" t="str">
        <f>IF(B939&lt;&gt;"",IF(AND(B939&gt;=_TM1,B939&lt;=_TM2,OR(TH!L939="1111",TH!M939="1111")),TH!D939,""),"")</f>
        <v/>
      </c>
      <c r="B939" s="36" t="str">
        <f t="shared" si="45"/>
        <v/>
      </c>
      <c r="C939" s="183"/>
      <c r="D939" s="190"/>
      <c r="E939" s="183"/>
      <c r="F939" s="191"/>
      <c r="G939" s="481"/>
      <c r="H939" s="192"/>
      <c r="I939" s="255"/>
      <c r="J939" s="255"/>
      <c r="K939" s="597"/>
      <c r="L939" s="193"/>
      <c r="M939" s="193"/>
      <c r="N939" s="51" t="str">
        <f>IF(AND('331-CT'!$E$7=TH!H971,OR(L939="331",M939="331")),"331",IF(AND(OR(L939="131",M939="131"),H939='131-CT'!$E$7),"131",""))</f>
        <v/>
      </c>
      <c r="O939" s="891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IF(OR(TH!L971=TH!$W$7,M939=TH!$W$7),"x","")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IF(AND(OR(LEFT(TH!L971,2)="15",LEFT(TH!M971,2)="15"),'152-CT'!$J$8=TH!F971),"x","")</f>
        <v/>
      </c>
      <c r="Z939" s="51" t="str">
        <f>IF(AND(OR(LEFT(TH!L971,2)="15",LEFT(TH!M971,2)="15"),TK!$E$7=TH!F971),"x","")</f>
        <v/>
      </c>
      <c r="AA939" s="51" t="str">
        <f>IF(AND(B939&lt;=NKC!$N$8,B939&gt;=NKC!$M$8),"x","")</f>
        <v/>
      </c>
      <c r="AB939" s="923"/>
      <c r="AC939" s="589"/>
      <c r="AD939" s="589"/>
    </row>
    <row r="940" spans="1:33" s="210" customFormat="1" ht="15.75" hidden="1" customHeight="1">
      <c r="A940" s="203" t="str">
        <f>IF(B940&lt;&gt;"",IF(AND(B940&gt;=_TM1,B940&lt;=_TM2,OR(TH!L940="1111",TH!M940="1111")),TH!D940,""),"")</f>
        <v/>
      </c>
      <c r="B940" s="36" t="str">
        <f t="shared" si="45"/>
        <v/>
      </c>
      <c r="C940" s="183"/>
      <c r="D940" s="190"/>
      <c r="E940" s="183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IF(AND('331-CT'!$E$7=TH!H426,OR(L940="331",M940="331")),"331",IF(AND(OR(L940="131",M940="131"),H940='131-CT'!$E$7),"131",""))</f>
        <v/>
      </c>
      <c r="O940" s="891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IF(OR(TH!L426=TH!$W$7,M940=TH!$W$7),"x","")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IF(AND(OR(LEFT(TH!L426,2)="15",LEFT(TH!M426,2)="15"),'152-CT'!$J$8=TH!F426),"x","")</f>
        <v/>
      </c>
      <c r="Z940" s="51" t="str">
        <f>IF(AND(OR(LEFT(TH!L426,2)="15",LEFT(TH!M426,2)="15"),TK!$E$7=TH!F426),"x","")</f>
        <v/>
      </c>
      <c r="AA940" s="51" t="str">
        <f>IF(AND(B940&lt;=NKC!$N$8,B940&gt;=NKC!$M$8),"x","")</f>
        <v/>
      </c>
      <c r="AB940" s="923"/>
      <c r="AC940" s="589"/>
      <c r="AD940" s="589"/>
      <c r="AF940" s="589"/>
      <c r="AG940" s="589"/>
    </row>
    <row r="941" spans="1:33" s="210" customFormat="1" ht="15.75" hidden="1" customHeight="1">
      <c r="A941" s="203" t="str">
        <f>IF(B941&lt;&gt;"",IF(AND(B941&gt;=_TM1,B941&lt;=_TM2,OR(TH!L941="1111",TH!M941="1111")),TH!D941,""),"")</f>
        <v/>
      </c>
      <c r="B941" s="36" t="str">
        <f t="shared" si="45"/>
        <v/>
      </c>
      <c r="C941" s="183"/>
      <c r="D941" s="190"/>
      <c r="E941" s="183"/>
      <c r="F941" s="188"/>
      <c r="G941" s="481"/>
      <c r="H941" s="7"/>
      <c r="I941" s="255"/>
      <c r="J941" s="255"/>
      <c r="K941" s="597"/>
      <c r="L941" s="193"/>
      <c r="M941" s="193"/>
      <c r="N941" s="51" t="str">
        <f>IF(AND('331-CT'!$E$7=TH!H427,OR(L941="331",M941="331")),"331",IF(AND(OR(L941="131",M941="131"),H941='131-CT'!$E$7),"131",""))</f>
        <v/>
      </c>
      <c r="O941" s="891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IF(OR(TH!L427=TH!$W$7,M941=TH!$W$7),"x","")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IF(AND(OR(LEFT(TH!L427,2)="15",LEFT(TH!M427,2)="15"),'152-CT'!$J$8=TH!F427),"x","")</f>
        <v/>
      </c>
      <c r="Z941" s="51" t="str">
        <f>IF(AND(OR(LEFT(TH!L427,2)="15",LEFT(TH!M427,2)="15"),TK!$E$7=TH!F427),"x","")</f>
        <v/>
      </c>
      <c r="AA941" s="51" t="str">
        <f>IF(AND(B941&lt;=NKC!$N$8,B941&gt;=NKC!$M$8),"x","")</f>
        <v/>
      </c>
      <c r="AB941" s="923"/>
      <c r="AC941" s="589"/>
      <c r="AD941" s="589"/>
      <c r="AF941" s="589"/>
      <c r="AG941" s="589"/>
    </row>
    <row r="942" spans="1:33" s="210" customFormat="1" ht="15.75" hidden="1" customHeight="1">
      <c r="A942" s="203" t="str">
        <f>IF(B942&lt;&gt;"",IF(AND(B942&gt;=_TM1,B942&lt;=_TM2,OR(TH!L942="1111",TH!M942="1111")),TH!D942,""),"")</f>
        <v/>
      </c>
      <c r="B942" s="36" t="str">
        <f t="shared" si="45"/>
        <v/>
      </c>
      <c r="C942" s="183"/>
      <c r="D942" s="190"/>
      <c r="E942" s="183"/>
      <c r="F942" s="188"/>
      <c r="G942" s="481"/>
      <c r="H942" s="192"/>
      <c r="I942" s="255"/>
      <c r="J942" s="255"/>
      <c r="K942" s="37"/>
      <c r="L942" s="193"/>
      <c r="M942" s="193"/>
      <c r="N942" s="51" t="str">
        <f>IF(AND('331-CT'!$E$7=TH!H972,OR(L942="331",M942="331")),"331",IF(AND(OR(L942="131",M942="131"),H942='131-CT'!$E$7),"131",""))</f>
        <v/>
      </c>
      <c r="O942" s="891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IF(OR(TH!L972=TH!$W$7,M942=TH!$W$7),"x","")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IF(AND(OR(LEFT(TH!L972,2)="15",LEFT(TH!M972,2)="15"),'152-CT'!$J$8=TH!F972),"x","")</f>
        <v/>
      </c>
      <c r="Z942" s="51" t="str">
        <f>IF(AND(OR(LEFT(TH!L972,2)="15",LEFT(TH!M972,2)="15"),TK!$E$7=TH!F972),"x","")</f>
        <v/>
      </c>
      <c r="AA942" s="51" t="str">
        <f>IF(AND(B942&lt;=NKC!$N$8,B942&gt;=NKC!$M$8),"x","")</f>
        <v/>
      </c>
      <c r="AB942" s="923"/>
      <c r="AC942" s="589"/>
      <c r="AD942" s="589"/>
    </row>
    <row r="943" spans="1:33" s="210" customFormat="1" ht="15.75" hidden="1" customHeight="1">
      <c r="A943" s="203" t="str">
        <f>IF(B943&lt;&gt;"",IF(AND(B943&gt;=_TM1,B943&lt;=_TM2,OR(TH!L943="1111",TH!M943="1111")),TH!D943,""),"")</f>
        <v/>
      </c>
      <c r="B943" s="36" t="str">
        <f t="shared" si="45"/>
        <v/>
      </c>
      <c r="C943" s="183"/>
      <c r="D943" s="190"/>
      <c r="E943" s="183"/>
      <c r="F943" s="188"/>
      <c r="G943" s="481"/>
      <c r="H943" s="192"/>
      <c r="I943" s="255"/>
      <c r="J943" s="255"/>
      <c r="K943" s="37"/>
      <c r="L943" s="193"/>
      <c r="M943" s="193"/>
      <c r="N943" s="51" t="str">
        <f>IF(AND('331-CT'!$E$7=TH!H973,OR(L943="331",M943="331")),"331",IF(AND(OR(L943="131",M943="131"),H943='131-CT'!$E$7),"131",""))</f>
        <v/>
      </c>
      <c r="O943" s="891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IF(OR(TH!L973=TH!$W$7,M943=TH!$W$7),"x","")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IF(AND(OR(LEFT(TH!L973,2)="15",LEFT(TH!M973,2)="15"),'152-CT'!$J$8=TH!F973),"x","")</f>
        <v/>
      </c>
      <c r="Z943" s="51" t="str">
        <f>IF(AND(OR(LEFT(TH!L973,2)="15",LEFT(TH!M973,2)="15"),TK!$E$7=TH!F973),"x","")</f>
        <v/>
      </c>
      <c r="AA943" s="51" t="str">
        <f>IF(AND(B943&lt;=NKC!$N$8,B943&gt;=NKC!$M$8),"x","")</f>
        <v/>
      </c>
      <c r="AB943" s="923"/>
      <c r="AC943" s="589"/>
      <c r="AD943" s="589"/>
    </row>
    <row r="944" spans="1:33" s="210" customFormat="1" ht="15.75" hidden="1" customHeight="1">
      <c r="A944" s="203" t="str">
        <f>IF(B944&lt;&gt;"",IF(AND(B944&gt;=_TM1,B944&lt;=_TM2,OR(TH!L944="1111",TH!M944="1111")),TH!D944,""),"")</f>
        <v/>
      </c>
      <c r="B944" s="36" t="str">
        <f t="shared" si="45"/>
        <v/>
      </c>
      <c r="C944" s="183"/>
      <c r="D944" s="190"/>
      <c r="E944" s="183"/>
      <c r="F944" s="188"/>
      <c r="G944" s="481"/>
      <c r="H944" s="192"/>
      <c r="I944" s="255"/>
      <c r="J944" s="255"/>
      <c r="K944" s="37"/>
      <c r="L944" s="193"/>
      <c r="M944" s="193"/>
      <c r="N944" s="51" t="str">
        <f>IF(AND('331-CT'!$E$7=TH!H974,OR(L944="331",M944="331")),"331",IF(AND(OR(L944="131",M944="131"),H944='131-CT'!$E$7),"131",""))</f>
        <v/>
      </c>
      <c r="O944" s="891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IF(OR(TH!L974=TH!$W$7,M944=TH!$W$7),"x","")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IF(AND(OR(LEFT(TH!L974,2)="15",LEFT(TH!M974,2)="15"),'152-CT'!$J$8=TH!F974),"x","")</f>
        <v/>
      </c>
      <c r="Z944" s="51" t="str">
        <f>IF(AND(OR(LEFT(TH!L974,2)="15",LEFT(TH!M974,2)="15"),TK!$E$7=TH!F974),"x","")</f>
        <v/>
      </c>
      <c r="AA944" s="51" t="str">
        <f>IF(AND(B944&lt;=NKC!$N$8,B944&gt;=NKC!$M$8),"x","")</f>
        <v/>
      </c>
      <c r="AB944" s="923"/>
      <c r="AC944" s="589"/>
    </row>
    <row r="945" spans="1:31" s="210" customFormat="1" ht="15.75" hidden="1" customHeight="1">
      <c r="A945" s="203" t="str">
        <f>IF(B945&lt;&gt;"",IF(AND(B945&gt;=_TM1,B945&lt;=_TM2,OR(TH!L945="1111",TH!M945="1111")),TH!D945,""),"")</f>
        <v/>
      </c>
      <c r="B945" s="36" t="str">
        <f t="shared" si="45"/>
        <v/>
      </c>
      <c r="C945" s="183"/>
      <c r="D945" s="190"/>
      <c r="E945" s="183"/>
      <c r="F945" s="188"/>
      <c r="G945" s="481"/>
      <c r="H945" s="192"/>
      <c r="I945" s="255"/>
      <c r="J945" s="255"/>
      <c r="K945" s="37"/>
      <c r="L945" s="193"/>
      <c r="M945" s="193"/>
      <c r="N945" s="51" t="str">
        <f>IF(AND('331-CT'!$E$7=TH!H975,OR(L945="331",M945="331")),"331",IF(AND(OR(L945="131",M945="131"),H945='131-CT'!$E$7),"131",""))</f>
        <v/>
      </c>
      <c r="O945" s="891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IF(OR(TH!L975=TH!$W$7,M945=TH!$W$7),"x","")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IF(AND(OR(LEFT(TH!L975,2)="15",LEFT(TH!M975,2)="15"),'152-CT'!$J$8=TH!F975),"x","")</f>
        <v/>
      </c>
      <c r="Z945" s="51" t="str">
        <f>IF(AND(OR(LEFT(TH!L975,2)="15",LEFT(TH!M975,2)="15"),TK!$E$7=TH!F975),"x","")</f>
        <v/>
      </c>
      <c r="AA945" s="51" t="str">
        <f>IF(AND(B945&lt;=NKC!$N$8,B945&gt;=NKC!$M$8),"x","")</f>
        <v/>
      </c>
      <c r="AB945" s="923"/>
      <c r="AC945" s="589"/>
      <c r="AD945" s="589"/>
    </row>
    <row r="946" spans="1:31" s="210" customFormat="1" ht="15.75" hidden="1" customHeight="1">
      <c r="A946" s="203" t="str">
        <f>IF(B946&lt;&gt;"",IF(AND(B946&gt;=_TM1,B946&lt;=_TM2,OR(TH!L946="1111",TH!M946="1111")),TH!D946,""),"")</f>
        <v/>
      </c>
      <c r="B946" s="36" t="str">
        <f t="shared" si="45"/>
        <v/>
      </c>
      <c r="C946" s="183"/>
      <c r="D946" s="190"/>
      <c r="E946" s="183"/>
      <c r="F946" s="191"/>
      <c r="G946" s="481"/>
      <c r="H946" s="192"/>
      <c r="I946" s="255"/>
      <c r="J946" s="255"/>
      <c r="K946" s="37"/>
      <c r="L946" s="193"/>
      <c r="M946" s="193"/>
      <c r="N946" s="51" t="str">
        <f>IF(AND('331-CT'!$E$7=TH!H976,OR(L946="331",M946="331")),"331",IF(AND(OR(L946="131",M946="131"),H946='131-CT'!$E$7),"131",""))</f>
        <v/>
      </c>
      <c r="O946" s="891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IF(OR(TH!L976=TH!$W$7,M946=TH!$W$7),"x","")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IF(AND(OR(LEFT(TH!L976,2)="15",LEFT(TH!M976,2)="15"),'152-CT'!$J$8=TH!F976),"x","")</f>
        <v/>
      </c>
      <c r="Z946" s="51" t="str">
        <f>IF(AND(OR(LEFT(TH!L976,2)="15",LEFT(TH!M976,2)="15"),TK!$E$7=TH!F976),"x","")</f>
        <v/>
      </c>
      <c r="AA946" s="51" t="str">
        <f>IF(AND(B946&lt;=NKC!$N$8,B946&gt;=NKC!$M$8),"x","")</f>
        <v/>
      </c>
      <c r="AB946" s="923"/>
      <c r="AC946" s="589"/>
      <c r="AD946" s="589"/>
    </row>
    <row r="947" spans="1:31" s="210" customFormat="1" ht="15.75" hidden="1" customHeight="1">
      <c r="A947" s="203" t="str">
        <f>IF(B947&lt;&gt;"",IF(AND(B947&gt;=_TM1,B947&lt;=_TM2,OR(TH!L947="1111",TH!M947="1111")),TH!D947,""),"")</f>
        <v/>
      </c>
      <c r="B947" s="36" t="str">
        <f t="shared" si="45"/>
        <v/>
      </c>
      <c r="C947" s="183"/>
      <c r="D947" s="190"/>
      <c r="E947" s="183"/>
      <c r="F947" s="188"/>
      <c r="G947" s="481"/>
      <c r="H947" s="192"/>
      <c r="I947" s="255"/>
      <c r="J947" s="255"/>
      <c r="K947" s="597"/>
      <c r="L947" s="193"/>
      <c r="M947" s="193"/>
      <c r="N947" s="51" t="str">
        <f>IF(AND('331-CT'!$E$7=TH!H977,OR(L947="331",M947="331")),"331",IF(AND(OR(L947="131",M947="131"),H947='131-CT'!$E$7),"131",""))</f>
        <v/>
      </c>
      <c r="O947" s="891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IF(OR(TH!L977=TH!$W$7,M947=TH!$W$7),"x","")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IF(AND(OR(LEFT(TH!L977,2)="15",LEFT(TH!M977,2)="15"),'152-CT'!$J$8=TH!F977),"x","")</f>
        <v/>
      </c>
      <c r="Z947" s="51" t="str">
        <f>IF(AND(OR(LEFT(TH!L977,2)="15",LEFT(TH!M977,2)="15"),TK!$E$7=TH!F977),"x","")</f>
        <v/>
      </c>
      <c r="AA947" s="51" t="str">
        <f>IF(AND(B947&lt;=NKC!$N$8,B947&gt;=NKC!$M$8),"x","")</f>
        <v/>
      </c>
      <c r="AB947" s="923"/>
      <c r="AC947" s="589"/>
    </row>
    <row r="948" spans="1:31" s="210" customFormat="1" ht="15.75" hidden="1" customHeight="1">
      <c r="A948" s="203" t="str">
        <f>IF(B948&lt;&gt;"",IF(AND(B948&gt;=_TM1,B948&lt;=_TM2,OR(TH!L948="1111",TH!M948="1111")),TH!D948,""),"")</f>
        <v/>
      </c>
      <c r="B948" s="36" t="str">
        <f t="shared" si="45"/>
        <v/>
      </c>
      <c r="C948" s="183"/>
      <c r="D948" s="190"/>
      <c r="E948" s="183"/>
      <c r="F948" s="188"/>
      <c r="G948" s="481"/>
      <c r="H948" s="782"/>
      <c r="I948" s="255"/>
      <c r="J948" s="255"/>
      <c r="K948" s="37"/>
      <c r="L948" s="193"/>
      <c r="M948" s="193"/>
      <c r="N948" s="51" t="e">
        <f>IF(AND('331-CT'!$E$7=TH!#REF!,OR(L948="331",M948="331")),"331",IF(AND(OR(L948="131",M948="131"),H948='131-CT'!$E$7),"131",""))</f>
        <v>#REF!</v>
      </c>
      <c r="O948" s="891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e">
        <f>IF(OR(TH!#REF!=TH!$W$7,M948=TH!$W$7),"x","")</f>
        <v>#REF!</v>
      </c>
      <c r="X948" s="51" t="str">
        <f>IF(AND(B948&gt;='IN-NX'!$P$3,B948&lt;='IN-NX'!$Q$3,'IN-NX'!$D$7=D948,OR(LEFT(L948,2)="15",AND(LEFT(M948,2)&lt;&gt;"15",LEFT(M948,2)&lt;&gt;"33"))),"x","")</f>
        <v/>
      </c>
      <c r="Y948" s="51" t="e">
        <f>IF(AND(OR(LEFT(TH!#REF!,2)="15",LEFT(TH!#REF!,2)="15"),'152-CT'!$J$8=TH!#REF!),"x","")</f>
        <v>#REF!</v>
      </c>
      <c r="Z948" s="51" t="e">
        <f>IF(AND(OR(LEFT(TH!#REF!,2)="15",LEFT(TH!#REF!,2)="15"),TK!$E$7=TH!#REF!),"x","")</f>
        <v>#REF!</v>
      </c>
      <c r="AA948" s="51" t="str">
        <f>IF(AND(B948&lt;=NKC!$N$8,B948&gt;=NKC!$M$8),"x","")</f>
        <v/>
      </c>
      <c r="AB948" s="923"/>
      <c r="AC948" s="589"/>
      <c r="AD948" s="589"/>
    </row>
    <row r="949" spans="1:31" s="210" customFormat="1" ht="15.75" hidden="1" customHeight="1">
      <c r="A949" s="203" t="str">
        <f>IF(B949&lt;&gt;"",IF(AND(B949&gt;=_TM1,B949&lt;=_TM2,OR(TH!L949="1111",TH!M949="1111")),TH!D949,""),"")</f>
        <v/>
      </c>
      <c r="B949" s="36" t="str">
        <f t="shared" si="45"/>
        <v/>
      </c>
      <c r="C949" s="183"/>
      <c r="D949" s="190"/>
      <c r="E949" s="183"/>
      <c r="F949" s="188"/>
      <c r="G949" s="481"/>
      <c r="H949" s="782"/>
      <c r="I949" s="255"/>
      <c r="J949" s="255"/>
      <c r="K949" s="37"/>
      <c r="L949" s="193"/>
      <c r="M949" s="193"/>
      <c r="N949" s="51" t="e">
        <f>IF(AND('331-CT'!$E$7=TH!#REF!,OR(L949="331",M949="331")),"331",IF(AND(OR(L949="131",M949="131"),H949='131-CT'!$E$7),"131",""))</f>
        <v>#REF!</v>
      </c>
      <c r="O949" s="891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e">
        <f>IF(OR(TH!#REF!=TH!$W$7,M949=TH!$W$7),"x","")</f>
        <v>#REF!</v>
      </c>
      <c r="X949" s="51" t="str">
        <f>IF(AND(B949&gt;='IN-NX'!$P$3,B949&lt;='IN-NX'!$Q$3,'IN-NX'!$D$7=D949,OR(LEFT(L949,2)="15",AND(LEFT(M949,2)&lt;&gt;"15",LEFT(M949,2)&lt;&gt;"33"))),"x","")</f>
        <v/>
      </c>
      <c r="Y949" s="51" t="e">
        <f>IF(AND(OR(LEFT(TH!#REF!,2)="15",LEFT(TH!#REF!,2)="15"),'152-CT'!$J$8=TH!#REF!),"x","")</f>
        <v>#REF!</v>
      </c>
      <c r="Z949" s="51" t="e">
        <f>IF(AND(OR(LEFT(TH!#REF!,2)="15",LEFT(TH!#REF!,2)="15"),TK!$E$7=TH!#REF!),"x","")</f>
        <v>#REF!</v>
      </c>
      <c r="AA949" s="51" t="str">
        <f>IF(AND(B949&lt;=NKC!$N$8,B949&gt;=NKC!$M$8),"x","")</f>
        <v/>
      </c>
      <c r="AB949" s="923"/>
      <c r="AC949" s="589"/>
    </row>
    <row r="950" spans="1:31" s="210" customFormat="1" ht="15.75" hidden="1" customHeight="1">
      <c r="A950" s="203" t="str">
        <f>IF(B950&lt;&gt;"",IF(AND(B950&gt;=_TM1,B950&lt;=_TM2,OR(TH!L950="1111",TH!M950="1111")),TH!D950,""),"")</f>
        <v/>
      </c>
      <c r="B950" s="36" t="str">
        <f t="shared" si="45"/>
        <v/>
      </c>
      <c r="C950" s="183"/>
      <c r="D950" s="190"/>
      <c r="E950" s="183"/>
      <c r="F950" s="191"/>
      <c r="G950" s="481"/>
      <c r="H950" s="782"/>
      <c r="I950" s="255"/>
      <c r="J950" s="255"/>
      <c r="K950" s="37"/>
      <c r="L950" s="193"/>
      <c r="M950" s="193"/>
      <c r="N950" s="51" t="e">
        <f>IF(AND('331-CT'!$E$7=TH!#REF!,OR(L950="331",M950="331")),"331",IF(AND(OR(L950="131",M950="131"),H950='131-CT'!$E$7),"131",""))</f>
        <v>#REF!</v>
      </c>
      <c r="O950" s="891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e">
        <f>IF(OR(TH!#REF!=TH!$W$7,M950=TH!$W$7),"x","")</f>
        <v>#REF!</v>
      </c>
      <c r="X950" s="51" t="str">
        <f>IF(AND(B950&gt;='IN-NX'!$P$3,B950&lt;='IN-NX'!$Q$3,'IN-NX'!$D$7=D950,OR(LEFT(L950,2)="15",AND(LEFT(M950,2)&lt;&gt;"15",LEFT(M950,2)&lt;&gt;"33"))),"x","")</f>
        <v/>
      </c>
      <c r="Y950" s="51" t="e">
        <f>IF(AND(OR(LEFT(TH!#REF!,2)="15",LEFT(TH!#REF!,2)="15"),'152-CT'!$J$8=TH!#REF!),"x","")</f>
        <v>#REF!</v>
      </c>
      <c r="Z950" s="51" t="e">
        <f>IF(AND(OR(LEFT(TH!#REF!,2)="15",LEFT(TH!#REF!,2)="15"),TK!$E$7=TH!#REF!),"x","")</f>
        <v>#REF!</v>
      </c>
      <c r="AA950" s="51" t="str">
        <f>IF(AND(B950&lt;=NKC!$N$8,B950&gt;=NKC!$M$8),"x","")</f>
        <v/>
      </c>
      <c r="AB950" s="923"/>
      <c r="AC950" s="589"/>
      <c r="AD950" s="589"/>
    </row>
    <row r="951" spans="1:31" s="210" customFormat="1" ht="15.75" hidden="1" customHeight="1">
      <c r="A951" s="203" t="str">
        <f>IF(B951&lt;&gt;"",IF(AND(B951&gt;=_TM1,B951&lt;=_TM2,OR(TH!L951="1111",TH!M951="1111")),TH!D951,""),"")</f>
        <v/>
      </c>
      <c r="B951" s="36" t="str">
        <f t="shared" si="45"/>
        <v/>
      </c>
      <c r="C951" s="183"/>
      <c r="D951" s="190"/>
      <c r="E951" s="183"/>
      <c r="F951" s="188"/>
      <c r="G951" s="481"/>
      <c r="H951" s="782"/>
      <c r="I951" s="255"/>
      <c r="J951" s="255"/>
      <c r="K951" s="37"/>
      <c r="L951" s="193"/>
      <c r="M951" s="193"/>
      <c r="N951" s="51" t="e">
        <f>IF(AND('331-CT'!$E$7=TH!#REF!,OR(L951="331",M951="331")),"331",IF(AND(OR(L951="131",M951="131"),H951='131-CT'!$E$7),"131",""))</f>
        <v>#REF!</v>
      </c>
      <c r="O951" s="891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e">
        <f>IF(OR(TH!#REF!=TH!$W$7,M951=TH!$W$7),"x","")</f>
        <v>#REF!</v>
      </c>
      <c r="X951" s="51" t="str">
        <f>IF(AND(B951&gt;='IN-NX'!$P$3,B951&lt;='IN-NX'!$Q$3,'IN-NX'!$D$7=D951,OR(LEFT(L951,2)="15",AND(LEFT(M951,2)&lt;&gt;"15",LEFT(M951,2)&lt;&gt;"33"))),"x","")</f>
        <v/>
      </c>
      <c r="Y951" s="51" t="e">
        <f>IF(AND(OR(LEFT(TH!#REF!,2)="15",LEFT(TH!#REF!,2)="15"),'152-CT'!$J$8=TH!#REF!),"x","")</f>
        <v>#REF!</v>
      </c>
      <c r="Z951" s="51" t="e">
        <f>IF(AND(OR(LEFT(TH!#REF!,2)="15",LEFT(TH!#REF!,2)="15"),TK!$E$7=TH!#REF!),"x","")</f>
        <v>#REF!</v>
      </c>
      <c r="AA951" s="51" t="str">
        <f>IF(AND(B951&lt;=NKC!$N$8,B951&gt;=NKC!$M$8),"x","")</f>
        <v/>
      </c>
      <c r="AB951" s="923"/>
      <c r="AC951" s="589"/>
      <c r="AD951" s="589"/>
      <c r="AE951" s="589"/>
    </row>
    <row r="952" spans="1:31" s="210" customFormat="1" ht="15.75" hidden="1" customHeight="1">
      <c r="A952" s="203" t="str">
        <f>IF(B952&lt;&gt;"",IF(AND(B952&gt;=_TM1,B952&lt;=_TM2,OR(TH!L952="1111",TH!M952="1111")),TH!D952,""),"")</f>
        <v/>
      </c>
      <c r="B952" s="36" t="str">
        <f t="shared" si="45"/>
        <v/>
      </c>
      <c r="C952" s="183"/>
      <c r="D952" s="190"/>
      <c r="E952" s="183"/>
      <c r="F952" s="188"/>
      <c r="G952" s="481"/>
      <c r="H952" s="782"/>
      <c r="I952" s="255"/>
      <c r="J952" s="255"/>
      <c r="K952" s="37"/>
      <c r="L952" s="193"/>
      <c r="M952" s="193"/>
      <c r="N952" s="51" t="e">
        <f>IF(AND('331-CT'!$E$7=TH!#REF!,OR(L952="331",M952="331")),"331",IF(AND(OR(L952="131",M952="131"),H952='131-CT'!$E$7),"131",""))</f>
        <v>#REF!</v>
      </c>
      <c r="O952" s="891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e">
        <f>IF(OR(TH!#REF!=TH!$W$7,M952=TH!$W$7),"x","")</f>
        <v>#REF!</v>
      </c>
      <c r="X952" s="51" t="str">
        <f>IF(AND(B952&gt;='IN-NX'!$P$3,B952&lt;='IN-NX'!$Q$3,'IN-NX'!$D$7=D952,OR(LEFT(L952,2)="15",AND(LEFT(M952,2)&lt;&gt;"15",LEFT(M952,2)&lt;&gt;"33"))),"x","")</f>
        <v/>
      </c>
      <c r="Y952" s="51" t="e">
        <f>IF(AND(OR(LEFT(TH!#REF!,2)="15",LEFT(TH!#REF!,2)="15"),'152-CT'!$J$8=TH!#REF!),"x","")</f>
        <v>#REF!</v>
      </c>
      <c r="Z952" s="51" t="e">
        <f>IF(AND(OR(LEFT(TH!#REF!,2)="15",LEFT(TH!#REF!,2)="15"),TK!$E$7=TH!#REF!),"x","")</f>
        <v>#REF!</v>
      </c>
      <c r="AA952" s="51" t="str">
        <f>IF(AND(B952&lt;=NKC!$N$8,B952&gt;=NKC!$M$8),"x","")</f>
        <v/>
      </c>
      <c r="AB952" s="923"/>
      <c r="AC952" s="589"/>
      <c r="AD952" s="589"/>
      <c r="AE952" s="589"/>
    </row>
    <row r="953" spans="1:31" s="210" customFormat="1" ht="15.75" hidden="1" customHeight="1">
      <c r="A953" s="203" t="str">
        <f>IF(B953&lt;&gt;"",IF(AND(B953&gt;=_TM1,B953&lt;=_TM2,OR(TH!L953="1111",TH!M953="1111")),TH!D953,""),"")</f>
        <v/>
      </c>
      <c r="B953" s="36" t="str">
        <f t="shared" si="45"/>
        <v/>
      </c>
      <c r="C953" s="183"/>
      <c r="D953" s="190"/>
      <c r="E953" s="183"/>
      <c r="F953" s="188"/>
      <c r="G953" s="481"/>
      <c r="H953" s="782"/>
      <c r="I953" s="255"/>
      <c r="J953" s="255"/>
      <c r="K953" s="37"/>
      <c r="L953" s="193"/>
      <c r="M953" s="193"/>
      <c r="N953" s="51" t="e">
        <f>IF(AND('331-CT'!$E$7=TH!#REF!,OR(L953="331",M953="331")),"331",IF(AND(OR(L953="131",M953="131"),H953='131-CT'!$E$7),"131",""))</f>
        <v>#REF!</v>
      </c>
      <c r="O953" s="891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e">
        <f>IF(OR(TH!#REF!=TH!$W$7,M953=TH!$W$7),"x","")</f>
        <v>#REF!</v>
      </c>
      <c r="X953" s="51" t="str">
        <f>IF(AND(B953&gt;='IN-NX'!$P$3,B953&lt;='IN-NX'!$Q$3,'IN-NX'!$D$7=D953,OR(LEFT(L953,2)="15",AND(LEFT(M953,2)&lt;&gt;"15",LEFT(M953,2)&lt;&gt;"33"))),"x","")</f>
        <v/>
      </c>
      <c r="Y953" s="51" t="e">
        <f>IF(AND(OR(LEFT(TH!#REF!,2)="15",LEFT(TH!#REF!,2)="15"),'152-CT'!$J$8=TH!#REF!),"x","")</f>
        <v>#REF!</v>
      </c>
      <c r="Z953" s="51" t="e">
        <f>IF(AND(OR(LEFT(TH!#REF!,2)="15",LEFT(TH!#REF!,2)="15"),TK!$E$7=TH!#REF!),"x","")</f>
        <v>#REF!</v>
      </c>
      <c r="AA953" s="51" t="str">
        <f>IF(AND(B953&lt;=NKC!$N$8,B953&gt;=NKC!$M$8),"x","")</f>
        <v/>
      </c>
      <c r="AB953" s="923"/>
      <c r="AC953" s="589"/>
      <c r="AD953" s="589"/>
      <c r="AE953" s="589"/>
    </row>
    <row r="954" spans="1:31" s="210" customFormat="1" ht="15.75" hidden="1" customHeight="1">
      <c r="A954" s="203" t="str">
        <f>IF(B954&lt;&gt;"",IF(AND(B954&gt;=_TM1,B954&lt;=_TM2,OR(TH!L954="1111",TH!M954="1111")),TH!D954,""),"")</f>
        <v/>
      </c>
      <c r="B954" s="36" t="str">
        <f t="shared" si="45"/>
        <v/>
      </c>
      <c r="C954" s="183"/>
      <c r="D954" s="190"/>
      <c r="E954" s="183"/>
      <c r="F954" s="188"/>
      <c r="G954" s="481"/>
      <c r="H954" s="782"/>
      <c r="I954" s="255"/>
      <c r="J954" s="255"/>
      <c r="K954" s="37"/>
      <c r="L954" s="193"/>
      <c r="M954" s="193"/>
      <c r="N954" s="51" t="e">
        <f>IF(AND('331-CT'!$E$7=TH!#REF!,OR(L954="331",M954="331")),"331",IF(AND(OR(L954="131",M954="131"),H954='131-CT'!$E$7),"131",""))</f>
        <v>#REF!</v>
      </c>
      <c r="O954" s="891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e">
        <f>IF(OR(TH!#REF!=TH!$W$7,M954=TH!$W$7),"x","")</f>
        <v>#REF!</v>
      </c>
      <c r="X954" s="51" t="str">
        <f>IF(AND(B954&gt;='IN-NX'!$P$3,B954&lt;='IN-NX'!$Q$3,'IN-NX'!$D$7=D954,OR(LEFT(L954,2)="15",AND(LEFT(M954,2)&lt;&gt;"15",LEFT(M954,2)&lt;&gt;"33"))),"x","")</f>
        <v/>
      </c>
      <c r="Y954" s="51" t="e">
        <f>IF(AND(OR(LEFT(TH!#REF!,2)="15",LEFT(TH!#REF!,2)="15"),'152-CT'!$J$8=TH!#REF!),"x","")</f>
        <v>#REF!</v>
      </c>
      <c r="Z954" s="51" t="e">
        <f>IF(AND(OR(LEFT(TH!#REF!,2)="15",LEFT(TH!#REF!,2)="15"),TK!$E$7=TH!#REF!),"x","")</f>
        <v>#REF!</v>
      </c>
      <c r="AA954" s="51" t="str">
        <f>IF(AND(B954&lt;=NKC!$N$8,B954&gt;=NKC!$M$8),"x","")</f>
        <v/>
      </c>
      <c r="AB954" s="923"/>
      <c r="AC954" s="589"/>
      <c r="AD954" s="589"/>
      <c r="AE954" s="589"/>
    </row>
    <row r="955" spans="1:31" s="210" customFormat="1" ht="15.75" hidden="1" customHeight="1">
      <c r="A955" s="203" t="str">
        <f>IF(B955&lt;&gt;"",IF(AND(B955&gt;=_TM1,B955&lt;=_TM2,OR(TH!L955="1111",TH!M955="1111")),TH!D955,""),"")</f>
        <v/>
      </c>
      <c r="B955" s="36" t="str">
        <f t="shared" si="45"/>
        <v/>
      </c>
      <c r="C955" s="183"/>
      <c r="D955" s="190"/>
      <c r="E955" s="183"/>
      <c r="F955" s="191"/>
      <c r="G955" s="481"/>
      <c r="H955" s="782"/>
      <c r="I955" s="255"/>
      <c r="J955" s="255"/>
      <c r="K955" s="37"/>
      <c r="L955" s="193"/>
      <c r="M955" s="193"/>
      <c r="N955" s="51" t="e">
        <f>IF(AND('331-CT'!$E$7=TH!#REF!,OR(L955="331",M955="331")),"331",IF(AND(OR(L955="131",M955="131"),H955='131-CT'!$E$7),"131",""))</f>
        <v>#REF!</v>
      </c>
      <c r="O955" s="891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e">
        <f>IF(OR(TH!#REF!=TH!$W$7,M955=TH!$W$7),"x","")</f>
        <v>#REF!</v>
      </c>
      <c r="X955" s="51" t="str">
        <f>IF(AND(B955&gt;='IN-NX'!$P$3,B955&lt;='IN-NX'!$Q$3,'IN-NX'!$D$7=D955,OR(LEFT(L955,2)="15",AND(LEFT(M955,2)&lt;&gt;"15",LEFT(M955,2)&lt;&gt;"33"))),"x","")</f>
        <v/>
      </c>
      <c r="Y955" s="51" t="e">
        <f>IF(AND(OR(LEFT(TH!#REF!,2)="15",LEFT(TH!#REF!,2)="15"),'152-CT'!$J$8=TH!#REF!),"x","")</f>
        <v>#REF!</v>
      </c>
      <c r="Z955" s="51" t="e">
        <f>IF(AND(OR(LEFT(TH!#REF!,2)="15",LEFT(TH!#REF!,2)="15"),TK!$E$7=TH!#REF!),"x","")</f>
        <v>#REF!</v>
      </c>
      <c r="AA955" s="51" t="str">
        <f>IF(AND(B955&lt;=NKC!$N$8,B955&gt;=NKC!$M$8),"x","")</f>
        <v/>
      </c>
      <c r="AB955" s="923"/>
      <c r="AC955" s="589"/>
      <c r="AD955" s="589"/>
      <c r="AE955" s="589"/>
    </row>
    <row r="956" spans="1:31" s="210" customFormat="1" ht="15.75" hidden="1" customHeight="1">
      <c r="A956" s="203" t="str">
        <f>IF(B956&lt;&gt;"",IF(AND(B956&gt;=_TM1,B956&lt;=_TM2,OR(TH!L956="1111",TH!M956="1111")),TH!D956,""),"")</f>
        <v/>
      </c>
      <c r="B956" s="36" t="str">
        <f t="shared" si="45"/>
        <v/>
      </c>
      <c r="C956" s="183"/>
      <c r="D956" s="190"/>
      <c r="E956" s="183"/>
      <c r="F956" s="188"/>
      <c r="G956" s="481"/>
      <c r="H956" s="782"/>
      <c r="I956" s="255"/>
      <c r="J956" s="255"/>
      <c r="K956" s="597"/>
      <c r="L956" s="193"/>
      <c r="M956" s="193"/>
      <c r="N956" s="51" t="e">
        <f>IF(AND('331-CT'!$E$7=TH!#REF!,OR(L956="331",M956="331")),"331",IF(AND(OR(L956="131",M956="131"),H956='131-CT'!$E$7),"131",""))</f>
        <v>#REF!</v>
      </c>
      <c r="O956" s="891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e">
        <f>IF(OR(TH!#REF!=TH!$W$7,M956=TH!$W$7),"x","")</f>
        <v>#REF!</v>
      </c>
      <c r="X956" s="51" t="str">
        <f>IF(AND(B956&gt;='IN-NX'!$P$3,B956&lt;='IN-NX'!$Q$3,'IN-NX'!$D$7=D956,OR(LEFT(L956,2)="15",AND(LEFT(M956,2)&lt;&gt;"15",LEFT(M956,2)&lt;&gt;"33"))),"x","")</f>
        <v/>
      </c>
      <c r="Y956" s="51" t="e">
        <f>IF(AND(OR(LEFT(TH!#REF!,2)="15",LEFT(TH!#REF!,2)="15"),'152-CT'!$J$8=TH!#REF!),"x","")</f>
        <v>#REF!</v>
      </c>
      <c r="Z956" s="51" t="e">
        <f>IF(AND(OR(LEFT(TH!#REF!,2)="15",LEFT(TH!#REF!,2)="15"),TK!$E$7=TH!#REF!),"x","")</f>
        <v>#REF!</v>
      </c>
      <c r="AA956" s="51" t="str">
        <f>IF(AND(B956&lt;=NKC!$N$8,B956&gt;=NKC!$M$8),"x","")</f>
        <v/>
      </c>
      <c r="AB956" s="923"/>
      <c r="AC956" s="589"/>
      <c r="AD956" s="589"/>
      <c r="AE956" s="589"/>
    </row>
    <row r="957" spans="1:31" s="210" customFormat="1" ht="15.75" hidden="1" customHeight="1">
      <c r="A957" s="203" t="str">
        <f>IF(B957&lt;&gt;"",IF(AND(B957&gt;=_TM1,B957&lt;=_TM2,OR(TH!L957="1111",TH!M957="1111")),TH!D957,""),"")</f>
        <v/>
      </c>
      <c r="B957" s="36" t="str">
        <f t="shared" si="45"/>
        <v/>
      </c>
      <c r="C957" s="183"/>
      <c r="D957" s="190"/>
      <c r="E957" s="183"/>
      <c r="F957" s="188"/>
      <c r="G957" s="481"/>
      <c r="H957" s="7"/>
      <c r="I957" s="255"/>
      <c r="J957" s="255"/>
      <c r="K957" s="37"/>
      <c r="L957" s="193"/>
      <c r="M957" s="193"/>
      <c r="N957" s="51" t="e">
        <f>IF(AND('331-CT'!$E$7=TH!#REF!,OR(L957="331",M957="331")),"331",IF(AND(OR(L957="131",M957="131"),H957='131-CT'!$E$7),"131",""))</f>
        <v>#REF!</v>
      </c>
      <c r="O957" s="891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e">
        <f>IF(OR(TH!#REF!=TH!$W$7,M957=TH!$W$7),"x","")</f>
        <v>#REF!</v>
      </c>
      <c r="X957" s="51" t="str">
        <f>IF(AND(B957&gt;='IN-NX'!$P$3,B957&lt;='IN-NX'!$Q$3,'IN-NX'!$D$7=D957,OR(LEFT(L957,2)="15",AND(LEFT(M957,2)&lt;&gt;"15",LEFT(M957,2)&lt;&gt;"33"))),"x","")</f>
        <v/>
      </c>
      <c r="Y957" s="51" t="e">
        <f>IF(AND(OR(LEFT(TH!#REF!,2)="15",LEFT(TH!#REF!,2)="15"),'152-CT'!$J$8=TH!#REF!),"x","")</f>
        <v>#REF!</v>
      </c>
      <c r="Z957" s="51" t="e">
        <f>IF(AND(OR(LEFT(TH!#REF!,2)="15",LEFT(TH!#REF!,2)="15"),TK!$E$7=TH!#REF!),"x","")</f>
        <v>#REF!</v>
      </c>
      <c r="AA957" s="51" t="str">
        <f>IF(AND(B957&lt;=NKC!$N$8,B957&gt;=NKC!$M$8),"x","")</f>
        <v/>
      </c>
      <c r="AB957" s="923"/>
      <c r="AC957" s="589"/>
      <c r="AD957" s="589"/>
      <c r="AE957" s="589"/>
    </row>
    <row r="958" spans="1:31" s="210" customFormat="1" ht="15.75" hidden="1" customHeight="1">
      <c r="A958" s="203" t="str">
        <f>IF(B958&lt;&gt;"",IF(AND(B958&gt;=_TM1,B958&lt;=_TM2,OR(TH!L958="1111",TH!M958="1111")),TH!D958,""),"")</f>
        <v/>
      </c>
      <c r="B958" s="36" t="str">
        <f t="shared" si="45"/>
        <v/>
      </c>
      <c r="C958" s="183"/>
      <c r="D958" s="190"/>
      <c r="E958" s="183"/>
      <c r="F958" s="188"/>
      <c r="G958" s="481"/>
      <c r="H958" s="7"/>
      <c r="I958" s="255"/>
      <c r="J958" s="255"/>
      <c r="K958" s="37"/>
      <c r="L958" s="193"/>
      <c r="M958" s="193"/>
      <c r="N958" s="51" t="e">
        <f>IF(AND('331-CT'!$E$7=TH!#REF!,OR(L958="331",M958="331")),"331",IF(AND(OR(L958="131",M958="131"),H958='131-CT'!$E$7),"131",""))</f>
        <v>#REF!</v>
      </c>
      <c r="O958" s="891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e">
        <f>IF(OR(TH!#REF!=TH!$W$7,M958=TH!$W$7),"x","")</f>
        <v>#REF!</v>
      </c>
      <c r="X958" s="51" t="str">
        <f>IF(AND(B958&gt;='IN-NX'!$P$3,B958&lt;='IN-NX'!$Q$3,'IN-NX'!$D$7=D958,OR(LEFT(L958,2)="15",AND(LEFT(M958,2)&lt;&gt;"15",LEFT(M958,2)&lt;&gt;"33"))),"x","")</f>
        <v/>
      </c>
      <c r="Y958" s="51" t="e">
        <f>IF(AND(OR(LEFT(TH!#REF!,2)="15",LEFT(TH!#REF!,2)="15"),'152-CT'!$J$8=TH!#REF!),"x","")</f>
        <v>#REF!</v>
      </c>
      <c r="Z958" s="51" t="e">
        <f>IF(AND(OR(LEFT(TH!#REF!,2)="15",LEFT(TH!#REF!,2)="15"),TK!$E$7=TH!#REF!),"x","")</f>
        <v>#REF!</v>
      </c>
      <c r="AA958" s="51" t="str">
        <f>IF(AND(B958&lt;=NKC!$N$8,B958&gt;=NKC!$M$8),"x","")</f>
        <v/>
      </c>
      <c r="AB958" s="923"/>
      <c r="AC958" s="589"/>
      <c r="AD958" s="589"/>
    </row>
    <row r="959" spans="1:31" s="210" customFormat="1" ht="15.75" hidden="1" customHeight="1">
      <c r="A959" s="203" t="str">
        <f>IF(B959&lt;&gt;"",IF(AND(B959&gt;=_TM1,B959&lt;=_TM2,OR(TH!L959="1111",TH!M959="1111")),TH!D959,""),"")</f>
        <v/>
      </c>
      <c r="B959" s="36" t="str">
        <f t="shared" si="45"/>
        <v/>
      </c>
      <c r="C959" s="183"/>
      <c r="D959" s="190"/>
      <c r="E959" s="183"/>
      <c r="F959" s="188"/>
      <c r="G959" s="481"/>
      <c r="H959" s="7"/>
      <c r="I959" s="255"/>
      <c r="J959" s="255"/>
      <c r="K959" s="37"/>
      <c r="L959" s="193"/>
      <c r="M959" s="193"/>
      <c r="N959" s="51" t="e">
        <f>IF(AND('331-CT'!$E$7=TH!#REF!,OR(L959="331",M959="331")),"331",IF(AND(OR(L959="131",M959="131"),H959='131-CT'!$E$7),"131",""))</f>
        <v>#REF!</v>
      </c>
      <c r="O959" s="891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e">
        <f>IF(OR(TH!#REF!=TH!$W$7,M959=TH!$W$7),"x","")</f>
        <v>#REF!</v>
      </c>
      <c r="X959" s="51" t="str">
        <f>IF(AND(B959&gt;='IN-NX'!$P$3,B959&lt;='IN-NX'!$Q$3,'IN-NX'!$D$7=D959,OR(LEFT(L959,2)="15",AND(LEFT(M959,2)&lt;&gt;"15",LEFT(M959,2)&lt;&gt;"33"))),"x","")</f>
        <v/>
      </c>
      <c r="Y959" s="51" t="e">
        <f>IF(AND(OR(LEFT(TH!#REF!,2)="15",LEFT(TH!#REF!,2)="15"),'152-CT'!$J$8=TH!#REF!),"x","")</f>
        <v>#REF!</v>
      </c>
      <c r="Z959" s="51" t="e">
        <f>IF(AND(OR(LEFT(TH!#REF!,2)="15",LEFT(TH!#REF!,2)="15"),TK!$E$7=TH!#REF!),"x","")</f>
        <v>#REF!</v>
      </c>
      <c r="AA959" s="51" t="str">
        <f>IF(AND(B959&lt;=NKC!$N$8,B959&gt;=NKC!$M$8),"x","")</f>
        <v/>
      </c>
      <c r="AB959" s="923"/>
      <c r="AC959" s="589"/>
      <c r="AD959" s="589"/>
    </row>
    <row r="960" spans="1:31" s="210" customFormat="1" ht="15.75" hidden="1" customHeight="1">
      <c r="A960" s="203" t="str">
        <f>IF(B960&lt;&gt;"",IF(AND(B960&gt;=_TM1,B960&lt;=_TM2,OR(TH!L960="1111",TH!M960="1111")),TH!D960,""),"")</f>
        <v/>
      </c>
      <c r="B960" s="36" t="str">
        <f t="shared" si="45"/>
        <v/>
      </c>
      <c r="C960" s="183"/>
      <c r="D960" s="190"/>
      <c r="E960" s="183"/>
      <c r="F960" s="188"/>
      <c r="G960" s="481"/>
      <c r="H960" s="7"/>
      <c r="I960" s="255"/>
      <c r="J960" s="255"/>
      <c r="K960" s="597"/>
      <c r="L960" s="193"/>
      <c r="M960" s="193"/>
      <c r="N960" s="51" t="e">
        <f>IF(AND('331-CT'!$E$7=TH!#REF!,OR(L960="331",M960="331")),"331",IF(AND(OR(L960="131",M960="131"),H960='131-CT'!$E$7),"131",""))</f>
        <v>#REF!</v>
      </c>
      <c r="O960" s="891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e">
        <f>IF(OR(TH!#REF!=TH!$W$7,M960=TH!$W$7),"x","")</f>
        <v>#REF!</v>
      </c>
      <c r="X960" s="51" t="str">
        <f>IF(AND(B960&gt;='IN-NX'!$P$3,B960&lt;='IN-NX'!$Q$3,'IN-NX'!$D$7=D960,OR(LEFT(L960,2)="15",AND(LEFT(M960,2)&lt;&gt;"15",LEFT(M960,2)&lt;&gt;"33"))),"x","")</f>
        <v/>
      </c>
      <c r="Y960" s="51" t="e">
        <f>IF(AND(OR(LEFT(TH!#REF!,2)="15",LEFT(TH!#REF!,2)="15"),'152-CT'!$J$8=TH!#REF!),"x","")</f>
        <v>#REF!</v>
      </c>
      <c r="Z960" s="51" t="e">
        <f>IF(AND(OR(LEFT(TH!#REF!,2)="15",LEFT(TH!#REF!,2)="15"),TK!$E$7=TH!#REF!),"x","")</f>
        <v>#REF!</v>
      </c>
      <c r="AA960" s="51" t="str">
        <f>IF(AND(B960&lt;=NKC!$N$8,B960&gt;=NKC!$M$8),"x","")</f>
        <v/>
      </c>
      <c r="AB960" s="923"/>
      <c r="AC960" s="589"/>
      <c r="AD960" s="589"/>
    </row>
    <row r="961" spans="1:33" s="210" customFormat="1" ht="15.75" hidden="1" customHeight="1">
      <c r="A961" s="203" t="str">
        <f>IF(B961&lt;&gt;"",IF(AND(B961&gt;=_TM1,B961&lt;=_TM2,OR(TH!L961="1111",TH!M961="1111")),TH!D961,""),"")</f>
        <v/>
      </c>
      <c r="B961" s="36" t="str">
        <f t="shared" si="45"/>
        <v/>
      </c>
      <c r="C961" s="183"/>
      <c r="D961" s="190"/>
      <c r="E961" s="183"/>
      <c r="F961" s="188"/>
      <c r="G961" s="481"/>
      <c r="H961" s="7"/>
      <c r="I961" s="255"/>
      <c r="J961" s="255"/>
      <c r="K961" s="37"/>
      <c r="L961" s="193"/>
      <c r="M961" s="193"/>
      <c r="N961" s="51" t="e">
        <f>IF(AND('331-CT'!$E$7=TH!#REF!,OR(L961="331",M961="331")),"331",IF(AND(OR(L961="131",M961="131"),H961='131-CT'!$E$7),"131",""))</f>
        <v>#REF!</v>
      </c>
      <c r="O961" s="891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e">
        <f>IF(OR(TH!#REF!=TH!$W$7,M961=TH!$W$7),"x","")</f>
        <v>#REF!</v>
      </c>
      <c r="X961" s="51" t="str">
        <f>IF(AND(B961&gt;='IN-NX'!$P$3,B961&lt;='IN-NX'!$Q$3,'IN-NX'!$D$7=D961,OR(LEFT(L961,2)="15",AND(LEFT(M961,2)&lt;&gt;"15",LEFT(M961,2)&lt;&gt;"33"))),"x","")</f>
        <v/>
      </c>
      <c r="Y961" s="51" t="e">
        <f>IF(AND(OR(LEFT(TH!#REF!,2)="15",LEFT(TH!#REF!,2)="15"),'152-CT'!$J$8=TH!#REF!),"x","")</f>
        <v>#REF!</v>
      </c>
      <c r="Z961" s="51" t="e">
        <f>IF(AND(OR(LEFT(TH!#REF!,2)="15",LEFT(TH!#REF!,2)="15"),TK!$E$7=TH!#REF!),"x","")</f>
        <v>#REF!</v>
      </c>
      <c r="AA961" s="51" t="str">
        <f>IF(AND(B961&lt;=NKC!$N$8,B961&gt;=NKC!$M$8),"x","")</f>
        <v/>
      </c>
      <c r="AB961" s="924"/>
      <c r="AC961" s="589"/>
      <c r="AD961" s="589"/>
    </row>
    <row r="962" spans="1:33" s="210" customFormat="1" ht="15.75" hidden="1" customHeight="1">
      <c r="A962" s="203" t="str">
        <f>IF(B962&lt;&gt;"",IF(AND(B962&gt;=_TM1,B962&lt;=_TM2,OR(TH!L962="1111",TH!M962="1111")),TH!D962,""),"")</f>
        <v/>
      </c>
      <c r="B962" s="36" t="str">
        <f t="shared" si="45"/>
        <v/>
      </c>
      <c r="C962" s="183"/>
      <c r="D962" s="190"/>
      <c r="E962" s="183"/>
      <c r="F962" s="188"/>
      <c r="G962" s="481"/>
      <c r="H962" s="7"/>
      <c r="I962" s="255"/>
      <c r="J962" s="255"/>
      <c r="K962" s="37"/>
      <c r="L962" s="193"/>
      <c r="M962" s="193"/>
      <c r="N962" s="51" t="e">
        <f>IF(AND('331-CT'!$E$7=TH!#REF!,OR(L962="331",M962="331")),"331",IF(AND(OR(L962="131",M962="131"),H962='131-CT'!$E$7),"131",""))</f>
        <v>#REF!</v>
      </c>
      <c r="O962" s="891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e">
        <f>IF(OR(TH!#REF!=TH!$W$7,M962=TH!$W$7),"x","")</f>
        <v>#REF!</v>
      </c>
      <c r="X962" s="51" t="str">
        <f>IF(AND(B962&gt;='IN-NX'!$P$3,B962&lt;='IN-NX'!$Q$3,'IN-NX'!$D$7=D962,OR(LEFT(L962,2)="15",AND(LEFT(M962,2)&lt;&gt;"15",LEFT(M962,2)&lt;&gt;"33"))),"x","")</f>
        <v/>
      </c>
      <c r="Y962" s="51" t="e">
        <f>IF(AND(OR(LEFT(TH!#REF!,2)="15",LEFT(TH!#REF!,2)="15"),'152-CT'!$J$8=TH!#REF!),"x","")</f>
        <v>#REF!</v>
      </c>
      <c r="Z962" s="51" t="e">
        <f>IF(AND(OR(LEFT(TH!#REF!,2)="15",LEFT(TH!#REF!,2)="15"),TK!$E$7=TH!#REF!),"x","")</f>
        <v>#REF!</v>
      </c>
      <c r="AA962" s="51" t="str">
        <f>IF(AND(B962&lt;=NKC!$N$8,B962&gt;=NKC!$M$8),"x","")</f>
        <v/>
      </c>
      <c r="AB962" s="924"/>
      <c r="AC962" s="589"/>
      <c r="AD962" s="589"/>
    </row>
    <row r="963" spans="1:33" s="210" customFormat="1" ht="15.75" hidden="1" customHeight="1">
      <c r="A963" s="203" t="str">
        <f>IF(B963&lt;&gt;"",IF(AND(B963&gt;=_TM1,B963&lt;=_TM2,OR(TH!L963="1111",TH!M963="1111")),TH!D963,""),"")</f>
        <v/>
      </c>
      <c r="B963" s="36" t="str">
        <f t="shared" si="45"/>
        <v/>
      </c>
      <c r="C963" s="183"/>
      <c r="D963" s="190"/>
      <c r="E963" s="183"/>
      <c r="F963" s="188"/>
      <c r="G963" s="481"/>
      <c r="H963" s="7"/>
      <c r="I963" s="255"/>
      <c r="J963" s="255"/>
      <c r="K963" s="37"/>
      <c r="L963" s="193"/>
      <c r="M963" s="193"/>
      <c r="N963" s="51" t="e">
        <f>IF(AND('331-CT'!$E$7=TH!#REF!,OR(L963="331",M963="331")),"331",IF(AND(OR(L963="131",M963="131"),H963='131-CT'!$E$7),"131",""))</f>
        <v>#REF!</v>
      </c>
      <c r="O963" s="891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e">
        <f>IF(OR(TH!#REF!=TH!$W$7,M963=TH!$W$7),"x","")</f>
        <v>#REF!</v>
      </c>
      <c r="X963" s="51" t="str">
        <f>IF(AND(B963&gt;='IN-NX'!$P$3,B963&lt;='IN-NX'!$Q$3,'IN-NX'!$D$7=D963,OR(LEFT(L963,2)="15",AND(LEFT(M963,2)&lt;&gt;"15",LEFT(M963,2)&lt;&gt;"33"))),"x","")</f>
        <v/>
      </c>
      <c r="Y963" s="51" t="e">
        <f>IF(AND(OR(LEFT(TH!#REF!,2)="15",LEFT(TH!#REF!,2)="15"),'152-CT'!$J$8=TH!#REF!),"x","")</f>
        <v>#REF!</v>
      </c>
      <c r="Z963" s="51" t="e">
        <f>IF(AND(OR(LEFT(TH!#REF!,2)="15",LEFT(TH!#REF!,2)="15"),TK!$E$7=TH!#REF!),"x","")</f>
        <v>#REF!</v>
      </c>
      <c r="AA963" s="51" t="str">
        <f>IF(AND(B963&lt;=NKC!$N$8,B963&gt;=NKC!$M$8),"x","")</f>
        <v/>
      </c>
      <c r="AB963" s="924"/>
      <c r="AC963" s="589"/>
      <c r="AD963" s="589"/>
    </row>
    <row r="964" spans="1:33" s="210" customFormat="1" ht="15.75" hidden="1" customHeight="1">
      <c r="A964" s="203" t="str">
        <f>IF(B964&lt;&gt;"",IF(AND(B964&gt;=_TM1,B964&lt;=_TM2,OR(TH!L964="1111",TH!M964="1111")),TH!D964,""),"")</f>
        <v/>
      </c>
      <c r="B964" s="36" t="str">
        <f t="shared" si="45"/>
        <v/>
      </c>
      <c r="C964" s="183"/>
      <c r="D964" s="190"/>
      <c r="E964" s="183"/>
      <c r="F964" s="188"/>
      <c r="G964" s="481"/>
      <c r="H964" s="7"/>
      <c r="I964" s="255"/>
      <c r="J964" s="255"/>
      <c r="K964" s="37"/>
      <c r="L964" s="193"/>
      <c r="M964" s="193"/>
      <c r="N964" s="51" t="e">
        <f>IF(AND('331-CT'!$E$7=TH!#REF!,OR(L964="331",M964="331")),"331",IF(AND(OR(L964="131",M964="131"),H964='131-CT'!$E$7),"131",""))</f>
        <v>#REF!</v>
      </c>
      <c r="O964" s="891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e">
        <f>IF(OR(TH!#REF!=TH!$W$7,M964=TH!$W$7),"x","")</f>
        <v>#REF!</v>
      </c>
      <c r="X964" s="51" t="str">
        <f>IF(AND(B964&gt;='IN-NX'!$P$3,B964&lt;='IN-NX'!$Q$3,'IN-NX'!$D$7=D964,OR(LEFT(L964,2)="15",AND(LEFT(M964,2)&lt;&gt;"15",LEFT(M964,2)&lt;&gt;"33"))),"x","")</f>
        <v/>
      </c>
      <c r="Y964" s="51" t="e">
        <f>IF(AND(OR(LEFT(TH!#REF!,2)="15",LEFT(TH!#REF!,2)="15"),'152-CT'!$J$8=TH!#REF!),"x","")</f>
        <v>#REF!</v>
      </c>
      <c r="Z964" s="51" t="e">
        <f>IF(AND(OR(LEFT(TH!#REF!,2)="15",LEFT(TH!#REF!,2)="15"),TK!$E$7=TH!#REF!),"x","")</f>
        <v>#REF!</v>
      </c>
      <c r="AA964" s="51" t="str">
        <f>IF(AND(B964&lt;=NKC!$N$8,B964&gt;=NKC!$M$8),"x","")</f>
        <v/>
      </c>
      <c r="AB964" s="924"/>
      <c r="AC964" s="589"/>
      <c r="AD964" s="589"/>
    </row>
    <row r="965" spans="1:33" s="210" customFormat="1" ht="15.75" hidden="1" customHeight="1">
      <c r="A965" s="203" t="str">
        <f>IF(B965&lt;&gt;"",IF(AND(B965&gt;=_TM1,B965&lt;=_TM2,OR(TH!L965="1111",TH!M965="1111")),TH!D965,""),"")</f>
        <v/>
      </c>
      <c r="B965" s="36" t="str">
        <f t="shared" ref="B965:B977" si="46">IF(C965&lt;&gt;"",MONTH(C965),"")</f>
        <v/>
      </c>
      <c r="C965" s="183"/>
      <c r="D965" s="190"/>
      <c r="E965" s="183"/>
      <c r="F965" s="188"/>
      <c r="G965" s="481"/>
      <c r="H965" s="209"/>
      <c r="I965" s="255"/>
      <c r="J965" s="255"/>
      <c r="K965" s="37"/>
      <c r="L965" s="193"/>
      <c r="M965" s="193"/>
      <c r="N965" s="51" t="e">
        <f>IF(AND('331-CT'!$E$7=TH!#REF!,OR(L965="331",M965="331")),"331",IF(AND(OR(L965="131",M965="131"),H965='131-CT'!$E$7),"131",""))</f>
        <v>#REF!</v>
      </c>
      <c r="O965" s="891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e">
        <f>IF(OR(TH!#REF!=TH!$W$7,M965=TH!$W$7),"x","")</f>
        <v>#REF!</v>
      </c>
      <c r="X965" s="51" t="str">
        <f>IF(AND(B965&gt;='IN-NX'!$P$3,B965&lt;='IN-NX'!$Q$3,'IN-NX'!$D$7=D965,OR(LEFT(L965,2)="15",AND(LEFT(M965,2)&lt;&gt;"15",LEFT(M965,2)&lt;&gt;"33"))),"x","")</f>
        <v/>
      </c>
      <c r="Y965" s="51" t="e">
        <f>IF(AND(OR(LEFT(TH!#REF!,2)="15",LEFT(TH!#REF!,2)="15"),'152-CT'!$J$8=TH!#REF!),"x","")</f>
        <v>#REF!</v>
      </c>
      <c r="Z965" s="51" t="e">
        <f>IF(AND(OR(LEFT(TH!#REF!,2)="15",LEFT(TH!#REF!,2)="15"),TK!$E$7=TH!#REF!),"x","")</f>
        <v>#REF!</v>
      </c>
      <c r="AA965" s="51" t="str">
        <f>IF(AND(B965&lt;=NKC!$N$8,B965&gt;=NKC!$M$8),"x","")</f>
        <v/>
      </c>
      <c r="AB965" s="924"/>
      <c r="AC965" s="589"/>
    </row>
    <row r="966" spans="1:33" s="210" customFormat="1" ht="15.75" hidden="1" customHeight="1">
      <c r="A966" s="203" t="str">
        <f>IF(B966&lt;&gt;"",IF(AND(B966&gt;=_TM1,B966&lt;=_TM2,OR(TH!L966="1111",TH!M966="1111")),TH!D966,""),"")</f>
        <v/>
      </c>
      <c r="B966" s="36" t="str">
        <f t="shared" si="46"/>
        <v/>
      </c>
      <c r="C966" s="183"/>
      <c r="D966" s="190"/>
      <c r="E966" s="183"/>
      <c r="F966" s="188"/>
      <c r="G966" s="481"/>
      <c r="H966" s="209"/>
      <c r="I966" s="255"/>
      <c r="J966" s="255"/>
      <c r="K966" s="37"/>
      <c r="L966" s="193"/>
      <c r="M966" s="193"/>
      <c r="N966" s="51" t="e">
        <f>IF(AND('331-CT'!$E$7=TH!#REF!,OR(L966="331",M966="331")),"331",IF(AND(OR(L966="131",M966="131"),H966='131-CT'!$E$7),"131",""))</f>
        <v>#REF!</v>
      </c>
      <c r="O966" s="891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e">
        <f>IF(OR(TH!#REF!=TH!$W$7,M966=TH!$W$7),"x","")</f>
        <v>#REF!</v>
      </c>
      <c r="X966" s="51" t="str">
        <f>IF(AND(B966&gt;='IN-NX'!$P$3,B966&lt;='IN-NX'!$Q$3,'IN-NX'!$D$7=D966,OR(LEFT(L966,2)="15",AND(LEFT(M966,2)&lt;&gt;"15",LEFT(M966,2)&lt;&gt;"33"))),"x","")</f>
        <v/>
      </c>
      <c r="Y966" s="51" t="e">
        <f>IF(AND(OR(LEFT(TH!#REF!,2)="15",LEFT(TH!#REF!,2)="15"),'152-CT'!$J$8=TH!#REF!),"x","")</f>
        <v>#REF!</v>
      </c>
      <c r="Z966" s="51" t="e">
        <f>IF(AND(OR(LEFT(TH!#REF!,2)="15",LEFT(TH!#REF!,2)="15"),TK!$E$7=TH!#REF!),"x","")</f>
        <v>#REF!</v>
      </c>
      <c r="AA966" s="51" t="str">
        <f>IF(AND(B966&lt;=NKC!$N$8,B966&gt;=NKC!$M$8),"x","")</f>
        <v/>
      </c>
      <c r="AB966" s="924"/>
      <c r="AC966" s="589"/>
      <c r="AD966" s="589"/>
    </row>
    <row r="967" spans="1:33" s="210" customFormat="1" ht="15.75" hidden="1" customHeight="1">
      <c r="A967" s="203" t="str">
        <f>IF(B967&lt;&gt;"",IF(AND(B967&gt;=_TM1,B967&lt;=_TM2,OR(TH!L967="1111",TH!M967="1111")),TH!D967,""),"")</f>
        <v/>
      </c>
      <c r="B967" s="36" t="str">
        <f t="shared" si="46"/>
        <v/>
      </c>
      <c r="C967" s="183"/>
      <c r="D967" s="190"/>
      <c r="E967" s="183"/>
      <c r="F967" s="188"/>
      <c r="G967" s="481"/>
      <c r="H967" s="209"/>
      <c r="I967" s="255"/>
      <c r="J967" s="255"/>
      <c r="K967" s="37"/>
      <c r="L967" s="193"/>
      <c r="M967" s="193"/>
      <c r="N967" s="51" t="e">
        <f>IF(AND('331-CT'!$E$7=TH!#REF!,OR(L967="331",M967="331")),"331",IF(AND(OR(L967="131",M967="131"),H967='131-CT'!$E$7),"131",""))</f>
        <v>#REF!</v>
      </c>
      <c r="O967" s="891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e">
        <f>IF(OR(TH!#REF!=TH!$W$7,M967=TH!$W$7),"x","")</f>
        <v>#REF!</v>
      </c>
      <c r="X967" s="51" t="str">
        <f>IF(AND(B967&gt;='IN-NX'!$P$3,B967&lt;='IN-NX'!$Q$3,'IN-NX'!$D$7=D967,OR(LEFT(L967,2)="15",AND(LEFT(M967,2)&lt;&gt;"15",LEFT(M967,2)&lt;&gt;"33"))),"x","")</f>
        <v/>
      </c>
      <c r="Y967" s="51" t="e">
        <f>IF(AND(OR(LEFT(TH!#REF!,2)="15",LEFT(TH!#REF!,2)="15"),'152-CT'!$J$8=TH!#REF!),"x","")</f>
        <v>#REF!</v>
      </c>
      <c r="Z967" s="51" t="e">
        <f>IF(AND(OR(LEFT(TH!#REF!,2)="15",LEFT(TH!#REF!,2)="15"),TK!$E$7=TH!#REF!),"x","")</f>
        <v>#REF!</v>
      </c>
      <c r="AA967" s="51" t="str">
        <f>IF(AND(B967&lt;=NKC!$N$8,B967&gt;=NKC!$M$8),"x","")</f>
        <v/>
      </c>
      <c r="AB967" s="924"/>
      <c r="AC967" s="589"/>
      <c r="AD967" s="589"/>
    </row>
    <row r="968" spans="1:33" s="210" customFormat="1" ht="15.75" hidden="1" customHeight="1">
      <c r="A968" s="203" t="str">
        <f>IF(B968&lt;&gt;"",IF(AND(B968&gt;=_TM1,B968&lt;=_TM2,OR(TH!L968="1111",TH!M968="1111")),TH!D968,""),"")</f>
        <v/>
      </c>
      <c r="B968" s="36" t="str">
        <f t="shared" si="46"/>
        <v/>
      </c>
      <c r="C968" s="183"/>
      <c r="D968" s="190"/>
      <c r="E968" s="183"/>
      <c r="F968" s="188"/>
      <c r="G968" s="481"/>
      <c r="H968" s="209"/>
      <c r="I968" s="255"/>
      <c r="J968" s="255"/>
      <c r="K968" s="37"/>
      <c r="L968" s="193"/>
      <c r="M968" s="193"/>
      <c r="N968" s="51" t="e">
        <f>IF(AND('331-CT'!$E$7=TH!#REF!,OR(L968="331",M968="331")),"331",IF(AND(OR(L968="131",M968="131"),H968='131-CT'!$E$7),"131",""))</f>
        <v>#REF!</v>
      </c>
      <c r="O968" s="891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e">
        <f>IF(OR(TH!#REF!=TH!$W$7,M968=TH!$W$7),"x","")</f>
        <v>#REF!</v>
      </c>
      <c r="X968" s="51" t="str">
        <f>IF(AND(B968&gt;='IN-NX'!$P$3,B968&lt;='IN-NX'!$Q$3,'IN-NX'!$D$7=D968,OR(LEFT(L968,2)="15",AND(LEFT(M968,2)&lt;&gt;"15",LEFT(M968,2)&lt;&gt;"33"))),"x","")</f>
        <v/>
      </c>
      <c r="Y968" s="51" t="e">
        <f>IF(AND(OR(LEFT(TH!#REF!,2)="15",LEFT(TH!#REF!,2)="15"),'152-CT'!$J$8=TH!#REF!),"x","")</f>
        <v>#REF!</v>
      </c>
      <c r="Z968" s="51" t="e">
        <f>IF(AND(OR(LEFT(TH!#REF!,2)="15",LEFT(TH!#REF!,2)="15"),TK!$E$7=TH!#REF!),"x","")</f>
        <v>#REF!</v>
      </c>
      <c r="AA968" s="51" t="str">
        <f>IF(AND(B968&lt;=NKC!$N$8,B968&gt;=NKC!$M$8),"x","")</f>
        <v/>
      </c>
      <c r="AB968" s="924"/>
      <c r="AC968" s="589"/>
      <c r="AD968" s="589"/>
    </row>
    <row r="969" spans="1:33" s="210" customFormat="1" ht="15.75" hidden="1" customHeight="1">
      <c r="A969" s="203" t="str">
        <f>IF(B969&lt;&gt;"",IF(AND(B969&gt;=_TM1,B969&lt;=_TM2,OR(TH!L969="1111",TH!M969="1111")),TH!D969,""),"")</f>
        <v/>
      </c>
      <c r="B969" s="36" t="str">
        <f t="shared" si="46"/>
        <v/>
      </c>
      <c r="C969" s="183"/>
      <c r="D969" s="190"/>
      <c r="E969" s="183"/>
      <c r="F969" s="188"/>
      <c r="G969" s="481"/>
      <c r="H969" s="7"/>
      <c r="I969" s="255"/>
      <c r="J969" s="255"/>
      <c r="K969" s="37"/>
      <c r="L969" s="193"/>
      <c r="M969" s="193"/>
      <c r="N969" s="51" t="e">
        <f>IF(AND('331-CT'!$E$7=TH!#REF!,OR(L969="331",M969="331")),"331",IF(AND(OR(L969="131",M969="131"),H969='131-CT'!$E$7),"131",""))</f>
        <v>#REF!</v>
      </c>
      <c r="O969" s="891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e">
        <f>IF(OR(TH!#REF!=TH!$W$7,M969=TH!$W$7),"x","")</f>
        <v>#REF!</v>
      </c>
      <c r="X969" s="51" t="str">
        <f>IF(AND(B969&gt;='IN-NX'!$P$3,B969&lt;='IN-NX'!$Q$3,'IN-NX'!$D$7=D969,OR(LEFT(L969,2)="15",AND(LEFT(M969,2)&lt;&gt;"15",LEFT(M969,2)&lt;&gt;"33"))),"x","")</f>
        <v/>
      </c>
      <c r="Y969" s="51" t="e">
        <f>IF(AND(OR(LEFT(TH!#REF!,2)="15",LEFT(TH!#REF!,2)="15"),'152-CT'!$J$8=TH!#REF!),"x","")</f>
        <v>#REF!</v>
      </c>
      <c r="Z969" s="51" t="e">
        <f>IF(AND(OR(LEFT(TH!#REF!,2)="15",LEFT(TH!#REF!,2)="15"),TK!$E$7=TH!#REF!),"x","")</f>
        <v>#REF!</v>
      </c>
      <c r="AA969" s="51" t="str">
        <f>IF(AND(B969&lt;=NKC!$N$8,B969&gt;=NKC!$M$8),"x","")</f>
        <v/>
      </c>
      <c r="AB969" s="924"/>
      <c r="AC969" s="589"/>
      <c r="AD969" s="589"/>
    </row>
    <row r="970" spans="1:33" s="210" customFormat="1" ht="15.75" hidden="1" customHeight="1">
      <c r="A970" s="203" t="str">
        <f>IF(B970&lt;&gt;"",IF(AND(B970&gt;=_TM1,B970&lt;=_TM2,OR(TH!L970="1111",TH!M970="1111")),TH!D970,""),"")</f>
        <v/>
      </c>
      <c r="B970" s="36" t="str">
        <f t="shared" si="46"/>
        <v/>
      </c>
      <c r="C970" s="183"/>
      <c r="D970" s="190"/>
      <c r="E970" s="183"/>
      <c r="F970" s="188"/>
      <c r="G970" s="481"/>
      <c r="H970" s="7"/>
      <c r="I970" s="255"/>
      <c r="J970" s="255"/>
      <c r="K970" s="37"/>
      <c r="L970" s="193"/>
      <c r="M970" s="193"/>
      <c r="N970" s="51" t="e">
        <f>IF(AND('331-CT'!$E$7=TH!#REF!,OR(L970="331",M970="331")),"331",IF(AND(OR(L970="131",M970="131"),H970='131-CT'!$E$7),"131",""))</f>
        <v>#REF!</v>
      </c>
      <c r="O970" s="891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e">
        <f>IF(OR(TH!#REF!=TH!$W$7,M970=TH!$W$7),"x","")</f>
        <v>#REF!</v>
      </c>
      <c r="X970" s="51" t="str">
        <f>IF(AND(B970&gt;='IN-NX'!$P$3,B970&lt;='IN-NX'!$Q$3,'IN-NX'!$D$7=D970,OR(LEFT(L970,2)="15",AND(LEFT(M970,2)&lt;&gt;"15",LEFT(M970,2)&lt;&gt;"33"))),"x","")</f>
        <v/>
      </c>
      <c r="Y970" s="51" t="e">
        <f>IF(AND(OR(LEFT(TH!#REF!,2)="15",LEFT(TH!#REF!,2)="15"),'152-CT'!$J$8=TH!#REF!),"x","")</f>
        <v>#REF!</v>
      </c>
      <c r="Z970" s="51" t="e">
        <f>IF(AND(OR(LEFT(TH!#REF!,2)="15",LEFT(TH!#REF!,2)="15"),TK!$E$7=TH!#REF!),"x","")</f>
        <v>#REF!</v>
      </c>
      <c r="AA970" s="51" t="str">
        <f>IF(AND(B970&lt;=NKC!$N$8,B970&gt;=NKC!$M$8),"x","")</f>
        <v/>
      </c>
      <c r="AB970" s="924"/>
      <c r="AC970" s="589"/>
      <c r="AD970" s="589"/>
    </row>
    <row r="971" spans="1:33" s="210" customFormat="1" ht="15.75" hidden="1" customHeight="1">
      <c r="A971" s="203" t="str">
        <f>IF(B971&lt;&gt;"",IF(AND(B971&gt;=_TM1,B971&lt;=_TM2,OR(TH!L971="1111",TH!M971="1111")),TH!D971,""),"")</f>
        <v/>
      </c>
      <c r="B971" s="36" t="str">
        <f t="shared" si="46"/>
        <v/>
      </c>
      <c r="C971" s="183"/>
      <c r="D971" s="190"/>
      <c r="E971" s="183"/>
      <c r="F971" s="188"/>
      <c r="G971" s="481"/>
      <c r="H971" s="7"/>
      <c r="I971" s="255"/>
      <c r="J971" s="255"/>
      <c r="K971" s="37"/>
      <c r="L971" s="193"/>
      <c r="M971" s="193"/>
      <c r="N971" s="51" t="e">
        <f>IF(AND('331-CT'!$E$7=TH!#REF!,OR(L971="331",M971="331")),"331",IF(AND(OR(L971="131",M971="131"),H971='131-CT'!$E$7),"131",""))</f>
        <v>#REF!</v>
      </c>
      <c r="O971" s="891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e">
        <f>IF(OR(TH!#REF!=TH!$W$7,M971=TH!$W$7),"x","")</f>
        <v>#REF!</v>
      </c>
      <c r="X971" s="51" t="str">
        <f>IF(AND(B971&gt;='IN-NX'!$P$3,B971&lt;='IN-NX'!$Q$3,'IN-NX'!$D$7=D971,OR(LEFT(L971,2)="15",AND(LEFT(M971,2)&lt;&gt;"15",LEFT(M971,2)&lt;&gt;"33"))),"x","")</f>
        <v/>
      </c>
      <c r="Y971" s="51" t="e">
        <f>IF(AND(OR(LEFT(TH!#REF!,2)="15",LEFT(TH!#REF!,2)="15"),'152-CT'!$J$8=TH!#REF!),"x","")</f>
        <v>#REF!</v>
      </c>
      <c r="Z971" s="51" t="e">
        <f>IF(AND(OR(LEFT(TH!#REF!,2)="15",LEFT(TH!#REF!,2)="15"),TK!$E$7=TH!#REF!),"x","")</f>
        <v>#REF!</v>
      </c>
      <c r="AA971" s="51" t="str">
        <f>IF(AND(B971&lt;=NKC!$N$8,B971&gt;=NKC!$M$8),"x","")</f>
        <v/>
      </c>
      <c r="AB971" s="924"/>
      <c r="AC971" s="589"/>
      <c r="AD971" s="589"/>
    </row>
    <row r="972" spans="1:33" s="210" customFormat="1" ht="15.75" hidden="1" customHeight="1">
      <c r="A972" s="203" t="str">
        <f>IF(B972&lt;&gt;"",IF(AND(B972&gt;=_TM1,B972&lt;=_TM2,OR(TH!L972="1111",TH!M972="1111")),TH!D972,""),"")</f>
        <v/>
      </c>
      <c r="B972" s="36" t="str">
        <f t="shared" si="46"/>
        <v/>
      </c>
      <c r="C972" s="183"/>
      <c r="D972" s="190"/>
      <c r="E972" s="183"/>
      <c r="F972" s="188"/>
      <c r="G972" s="481"/>
      <c r="H972" s="7"/>
      <c r="I972" s="255"/>
      <c r="J972" s="255"/>
      <c r="K972" s="37"/>
      <c r="L972" s="193"/>
      <c r="M972" s="193"/>
      <c r="N972" s="51" t="e">
        <f>IF(AND('331-CT'!$E$7=TH!#REF!,OR(L972="331",M972="331")),"331",IF(AND(OR(L972="131",M972="131"),H972='131-CT'!$E$7),"131",""))</f>
        <v>#REF!</v>
      </c>
      <c r="O972" s="891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e">
        <f>IF(OR(TH!#REF!=TH!$W$7,M972=TH!$W$7),"x","")</f>
        <v>#REF!</v>
      </c>
      <c r="X972" s="51" t="str">
        <f>IF(AND(B972&gt;='IN-NX'!$P$3,B972&lt;='IN-NX'!$Q$3,'IN-NX'!$D$7=D972,OR(LEFT(L972,2)="15",AND(LEFT(M972,2)&lt;&gt;"15",LEFT(M972,2)&lt;&gt;"33"))),"x","")</f>
        <v/>
      </c>
      <c r="Y972" s="51" t="e">
        <f>IF(AND(OR(LEFT(TH!#REF!,2)="15",LEFT(TH!#REF!,2)="15"),'152-CT'!$J$8=TH!#REF!),"x","")</f>
        <v>#REF!</v>
      </c>
      <c r="Z972" s="51" t="e">
        <f>IF(AND(OR(LEFT(TH!#REF!,2)="15",LEFT(TH!#REF!,2)="15"),TK!$E$7=TH!#REF!),"x","")</f>
        <v>#REF!</v>
      </c>
      <c r="AA972" s="51" t="str">
        <f>IF(AND(B972&lt;=NKC!$N$8,B972&gt;=NKC!$M$8),"x","")</f>
        <v/>
      </c>
      <c r="AB972" s="924"/>
      <c r="AC972" s="589"/>
      <c r="AD972" s="589"/>
    </row>
    <row r="973" spans="1:33" s="210" customFormat="1" ht="15.75" hidden="1" customHeight="1">
      <c r="A973" s="203" t="str">
        <f>IF(B973&lt;&gt;"",IF(AND(B973&gt;=_TM1,B973&lt;=_TM2,OR(TH!L973="1111",TH!M973="1111")),TH!D973,""),"")</f>
        <v/>
      </c>
      <c r="B973" s="36" t="str">
        <f t="shared" si="46"/>
        <v/>
      </c>
      <c r="C973" s="183"/>
      <c r="D973" s="190"/>
      <c r="E973" s="183"/>
      <c r="F973" s="188"/>
      <c r="G973" s="481"/>
      <c r="H973" s="7"/>
      <c r="I973" s="255"/>
      <c r="J973" s="255"/>
      <c r="K973" s="37"/>
      <c r="L973" s="193"/>
      <c r="M973" s="193"/>
      <c r="N973" s="51" t="e">
        <f>IF(AND('331-CT'!$E$7=TH!#REF!,OR(L973="331",M973="331")),"331",IF(AND(OR(L973="131",M973="131"),H973='131-CT'!$E$7),"131",""))</f>
        <v>#REF!</v>
      </c>
      <c r="O973" s="891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e">
        <f>IF(OR(TH!#REF!=TH!$W$7,M973=TH!$W$7),"x","")</f>
        <v>#REF!</v>
      </c>
      <c r="X973" s="51" t="str">
        <f>IF(AND(B973&gt;='IN-NX'!$P$3,B973&lt;='IN-NX'!$Q$3,'IN-NX'!$D$7=D973,OR(LEFT(L973,2)="15",AND(LEFT(M973,2)&lt;&gt;"15",LEFT(M973,2)&lt;&gt;"33"))),"x","")</f>
        <v/>
      </c>
      <c r="Y973" s="51" t="e">
        <f>IF(AND(OR(LEFT(TH!#REF!,2)="15",LEFT(TH!#REF!,2)="15"),'152-CT'!$J$8=TH!#REF!),"x","")</f>
        <v>#REF!</v>
      </c>
      <c r="Z973" s="51" t="e">
        <f>IF(AND(OR(LEFT(TH!#REF!,2)="15",LEFT(TH!#REF!,2)="15"),TK!$E$7=TH!#REF!),"x","")</f>
        <v>#REF!</v>
      </c>
      <c r="AA973" s="51" t="str">
        <f>IF(AND(B973&lt;=NKC!$N$8,B973&gt;=NKC!$M$8),"x","")</f>
        <v/>
      </c>
      <c r="AB973" s="924"/>
      <c r="AC973" s="589"/>
    </row>
    <row r="974" spans="1:33" s="210" customFormat="1" ht="15.75" hidden="1" customHeight="1">
      <c r="A974" s="203" t="str">
        <f>IF(B974&lt;&gt;"",IF(AND(B974&gt;=_TM1,B974&lt;=_TM2,OR(TH!L974="1111",TH!M974="1111")),TH!D974,""),"")</f>
        <v/>
      </c>
      <c r="B974" s="36" t="str">
        <f t="shared" si="46"/>
        <v/>
      </c>
      <c r="C974" s="183"/>
      <c r="D974" s="190"/>
      <c r="E974" s="183"/>
      <c r="F974" s="191"/>
      <c r="G974" s="481"/>
      <c r="H974" s="7"/>
      <c r="I974" s="255"/>
      <c r="J974" s="255"/>
      <c r="K974" s="37"/>
      <c r="L974" s="193"/>
      <c r="M974" s="193"/>
      <c r="N974" s="51" t="str">
        <f>IF(AND('331-CT'!$E$7=TH!H428,OR(L974="331",M974="331")),"331",IF(AND(OR(L974="131",M974="131"),H974='131-CT'!$E$7),"131",""))</f>
        <v/>
      </c>
      <c r="O974" s="891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IF(OR(TH!L428=TH!$W$7,M974=TH!$W$7),"x","")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IF(AND(OR(LEFT(TH!L428,2)="15",LEFT(TH!M428,2)="15"),'152-CT'!$J$8=TH!F428),"x","")</f>
        <v/>
      </c>
      <c r="Z974" s="51" t="str">
        <f>IF(AND(OR(LEFT(TH!L428,2)="15",LEFT(TH!M428,2)="15"),TK!$E$7=TH!F428),"x","")</f>
        <v/>
      </c>
      <c r="AA974" s="51" t="str">
        <f>IF(AND(B974&lt;=NKC!$N$8,B974&gt;=NKC!$M$8),"x","")</f>
        <v/>
      </c>
      <c r="AB974" s="923"/>
      <c r="AC974" s="589"/>
      <c r="AD974" s="589"/>
      <c r="AF974" s="589"/>
      <c r="AG974" s="589"/>
    </row>
    <row r="975" spans="1:33" s="210" customFormat="1" ht="15.75" hidden="1" customHeight="1">
      <c r="A975" s="203" t="str">
        <f>IF(B975&lt;&gt;"",IF(AND(B975&gt;=_TM1,B975&lt;=_TM2,OR(TH!L975="1111",TH!M975="1111")),TH!D975,""),"")</f>
        <v/>
      </c>
      <c r="B975" s="36" t="str">
        <f t="shared" si="46"/>
        <v/>
      </c>
      <c r="C975" s="183"/>
      <c r="D975" s="190"/>
      <c r="E975" s="183"/>
      <c r="F975" s="188"/>
      <c r="G975" s="481"/>
      <c r="H975" s="7"/>
      <c r="I975" s="255"/>
      <c r="J975" s="255"/>
      <c r="K975" s="597"/>
      <c r="L975" s="193"/>
      <c r="M975" s="193"/>
      <c r="N975" s="51" t="str">
        <f>IF(AND('331-CT'!$E$7=TH!H429,OR(L975="331",M975="331")),"331",IF(AND(OR(L975="131",M975="131"),H975='131-CT'!$E$7),"131",""))</f>
        <v/>
      </c>
      <c r="O975" s="891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IF(OR(TH!L429=TH!$W$7,M975=TH!$W$7),"x","")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IF(AND(OR(LEFT(TH!L429,2)="15",LEFT(TH!M429,2)="15"),'152-CT'!$J$8=TH!F429),"x","")</f>
        <v/>
      </c>
      <c r="Z975" s="51" t="str">
        <f>IF(AND(OR(LEFT(TH!L429,2)="15",LEFT(TH!M429,2)="15"),TK!$E$7=TH!F429),"x","")</f>
        <v/>
      </c>
      <c r="AA975" s="51" t="str">
        <f>IF(AND(B975&lt;=NKC!$N$8,B975&gt;=NKC!$M$8),"x","")</f>
        <v/>
      </c>
      <c r="AB975" s="923"/>
      <c r="AC975" s="589"/>
      <c r="AF975" s="589"/>
      <c r="AG975" s="589"/>
    </row>
    <row r="976" spans="1:33" s="210" customFormat="1" ht="15.75" hidden="1" customHeight="1">
      <c r="A976" s="203" t="str">
        <f>IF(B976&lt;&gt;"",IF(AND(B976&gt;=_TM1,B976&lt;=_TM2,OR(TH!L976="1111",TH!M976="1111")),TH!D976,""),"")</f>
        <v/>
      </c>
      <c r="B976" s="36" t="str">
        <f t="shared" si="46"/>
        <v/>
      </c>
      <c r="C976" s="183"/>
      <c r="D976" s="190"/>
      <c r="E976" s="183"/>
      <c r="F976" s="188"/>
      <c r="G976" s="481"/>
      <c r="H976" s="7"/>
      <c r="I976" s="255"/>
      <c r="J976" s="255"/>
      <c r="K976" s="37"/>
      <c r="L976" s="193"/>
      <c r="M976" s="193"/>
      <c r="N976" s="51" t="str">
        <f>IF(AND('331-CT'!$E$7=TH!H430,OR(L976="331",M976="331")),"331",IF(AND(OR(L976="131",M976="131"),H976='131-CT'!$E$7),"131",""))</f>
        <v/>
      </c>
      <c r="O976" s="891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IF(OR(TH!L430=TH!$W$7,M976=TH!$W$7),"x","")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IF(AND(OR(LEFT(TH!L430,2)="15",LEFT(TH!M430,2)="15"),'152-CT'!$J$8=TH!F430),"x","")</f>
        <v/>
      </c>
      <c r="Z976" s="51" t="str">
        <f>IF(AND(OR(LEFT(TH!L430,2)="15",LEFT(TH!M430,2)="15"),TK!$E$7=TH!F430),"x","")</f>
        <v/>
      </c>
      <c r="AA976" s="51" t="str">
        <f>IF(AND(B976&lt;=NKC!$N$8,B976&gt;=NKC!$M$8),"x","")</f>
        <v/>
      </c>
      <c r="AB976" s="923"/>
      <c r="AC976" s="589"/>
      <c r="AD976" s="589"/>
    </row>
    <row r="977" spans="1:30" s="210" customFormat="1" ht="15.75" hidden="1" customHeight="1">
      <c r="A977" s="203" t="str">
        <f>IF(B977&lt;&gt;"",IF(AND(B977&gt;=_TM1,B977&lt;=_TM2,OR(TH!L977="1111",TH!M977="1111")),TH!D977,""),"")</f>
        <v/>
      </c>
      <c r="B977" s="36" t="str">
        <f t="shared" si="46"/>
        <v/>
      </c>
      <c r="C977" s="183"/>
      <c r="D977" s="190"/>
      <c r="E977" s="183"/>
      <c r="F977" s="188"/>
      <c r="G977" s="481"/>
      <c r="H977" s="7"/>
      <c r="I977" s="255"/>
      <c r="J977" s="255"/>
      <c r="K977" s="597"/>
      <c r="L977" s="193"/>
      <c r="M977" s="193"/>
      <c r="N977" s="51" t="str">
        <f>IF(AND('331-CT'!$E$7=TH!H431,OR(L977="331",M977="331")),"331",IF(AND(OR(L977="131",M977="131"),H977='131-CT'!$E$7),"131",""))</f>
        <v/>
      </c>
      <c r="O977" s="891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IF(OR(TH!L431=TH!$W$7,M977=TH!$W$7),"x","")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IF(AND(OR(LEFT(TH!L431,2)="15",LEFT(TH!M431,2)="15"),'152-CT'!$J$8=TH!F431),"x","")</f>
        <v/>
      </c>
      <c r="Z977" s="51" t="str">
        <f>IF(AND(OR(LEFT(TH!L431,2)="15",LEFT(TH!M431,2)="15"),TK!$E$7=TH!F431),"x","")</f>
        <v/>
      </c>
      <c r="AA977" s="51" t="str">
        <f>IF(AND(B977&lt;=NKC!$N$8,B977&gt;=NKC!$M$8),"x","")</f>
        <v/>
      </c>
      <c r="AB977" s="923"/>
      <c r="AC977" s="589"/>
      <c r="AD977" s="589"/>
    </row>
    <row r="979" spans="1:30">
      <c r="J979" s="795"/>
    </row>
    <row r="982" spans="1:30">
      <c r="H982" s="794"/>
    </row>
    <row r="983" spans="1:30">
      <c r="K983" s="478">
        <f>SUBTOTAL(9,K10:K977)</f>
        <v>36636600</v>
      </c>
    </row>
  </sheetData>
  <autoFilter ref="A9:AE977">
    <filterColumn colId="11">
      <filters>
        <filter val="1522"/>
      </filters>
    </filterColumn>
  </autoFilter>
  <sortState ref="A22:AG69">
    <sortCondition ref="C22:C69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20" customWidth="1"/>
    <col min="2" max="2" width="9.28515625" style="620" customWidth="1"/>
    <col min="3" max="3" width="10" style="620" customWidth="1"/>
    <col min="4" max="4" width="41.42578125" style="620" customWidth="1"/>
    <col min="5" max="5" width="6" style="620" customWidth="1"/>
    <col min="6" max="6" width="7.85546875" style="620" customWidth="1"/>
    <col min="7" max="7" width="8.5703125" style="620" customWidth="1"/>
    <col min="8" max="8" width="13.85546875" style="620" customWidth="1"/>
    <col min="9" max="9" width="14.140625" style="620" customWidth="1"/>
    <col min="10" max="11" width="9.140625" style="620"/>
    <col min="12" max="12" width="3.5703125" style="620" customWidth="1"/>
    <col min="13" max="256" width="9.140625" style="620"/>
    <col min="257" max="257" width="13" style="620" customWidth="1"/>
    <col min="258" max="258" width="9.140625" style="620"/>
    <col min="259" max="259" width="13" style="620" customWidth="1"/>
    <col min="260" max="260" width="29.7109375" style="620" customWidth="1"/>
    <col min="261" max="261" width="7.7109375" style="620" customWidth="1"/>
    <col min="262" max="262" width="6" style="620" customWidth="1"/>
    <col min="263" max="263" width="11.5703125" style="620" customWidth="1"/>
    <col min="264" max="264" width="13.42578125" style="620" customWidth="1"/>
    <col min="265" max="265" width="13.85546875" style="620" customWidth="1"/>
    <col min="266" max="512" width="9.140625" style="620"/>
    <col min="513" max="513" width="13" style="620" customWidth="1"/>
    <col min="514" max="514" width="9.140625" style="620"/>
    <col min="515" max="515" width="13" style="620" customWidth="1"/>
    <col min="516" max="516" width="29.7109375" style="620" customWidth="1"/>
    <col min="517" max="517" width="7.7109375" style="620" customWidth="1"/>
    <col min="518" max="518" width="6" style="620" customWidth="1"/>
    <col min="519" max="519" width="11.5703125" style="620" customWidth="1"/>
    <col min="520" max="520" width="13.42578125" style="620" customWidth="1"/>
    <col min="521" max="521" width="13.85546875" style="620" customWidth="1"/>
    <col min="522" max="768" width="9.140625" style="620"/>
    <col min="769" max="769" width="13" style="620" customWidth="1"/>
    <col min="770" max="770" width="9.140625" style="620"/>
    <col min="771" max="771" width="13" style="620" customWidth="1"/>
    <col min="772" max="772" width="29.7109375" style="620" customWidth="1"/>
    <col min="773" max="773" width="7.7109375" style="620" customWidth="1"/>
    <col min="774" max="774" width="6" style="620" customWidth="1"/>
    <col min="775" max="775" width="11.5703125" style="620" customWidth="1"/>
    <col min="776" max="776" width="13.42578125" style="620" customWidth="1"/>
    <col min="777" max="777" width="13.85546875" style="620" customWidth="1"/>
    <col min="778" max="1024" width="9.140625" style="620"/>
    <col min="1025" max="1025" width="13" style="620" customWidth="1"/>
    <col min="1026" max="1026" width="9.140625" style="620"/>
    <col min="1027" max="1027" width="13" style="620" customWidth="1"/>
    <col min="1028" max="1028" width="29.7109375" style="620" customWidth="1"/>
    <col min="1029" max="1029" width="7.7109375" style="620" customWidth="1"/>
    <col min="1030" max="1030" width="6" style="620" customWidth="1"/>
    <col min="1031" max="1031" width="11.5703125" style="620" customWidth="1"/>
    <col min="1032" max="1032" width="13.42578125" style="620" customWidth="1"/>
    <col min="1033" max="1033" width="13.85546875" style="620" customWidth="1"/>
    <col min="1034" max="1280" width="9.140625" style="620"/>
    <col min="1281" max="1281" width="13" style="620" customWidth="1"/>
    <col min="1282" max="1282" width="9.140625" style="620"/>
    <col min="1283" max="1283" width="13" style="620" customWidth="1"/>
    <col min="1284" max="1284" width="29.7109375" style="620" customWidth="1"/>
    <col min="1285" max="1285" width="7.7109375" style="620" customWidth="1"/>
    <col min="1286" max="1286" width="6" style="620" customWidth="1"/>
    <col min="1287" max="1287" width="11.5703125" style="620" customWidth="1"/>
    <col min="1288" max="1288" width="13.42578125" style="620" customWidth="1"/>
    <col min="1289" max="1289" width="13.85546875" style="620" customWidth="1"/>
    <col min="1290" max="1536" width="9.140625" style="620"/>
    <col min="1537" max="1537" width="13" style="620" customWidth="1"/>
    <col min="1538" max="1538" width="9.140625" style="620"/>
    <col min="1539" max="1539" width="13" style="620" customWidth="1"/>
    <col min="1540" max="1540" width="29.7109375" style="620" customWidth="1"/>
    <col min="1541" max="1541" width="7.7109375" style="620" customWidth="1"/>
    <col min="1542" max="1542" width="6" style="620" customWidth="1"/>
    <col min="1543" max="1543" width="11.5703125" style="620" customWidth="1"/>
    <col min="1544" max="1544" width="13.42578125" style="620" customWidth="1"/>
    <col min="1545" max="1545" width="13.85546875" style="620" customWidth="1"/>
    <col min="1546" max="1792" width="9.140625" style="620"/>
    <col min="1793" max="1793" width="13" style="620" customWidth="1"/>
    <col min="1794" max="1794" width="9.140625" style="620"/>
    <col min="1795" max="1795" width="13" style="620" customWidth="1"/>
    <col min="1796" max="1796" width="29.7109375" style="620" customWidth="1"/>
    <col min="1797" max="1797" width="7.7109375" style="620" customWidth="1"/>
    <col min="1798" max="1798" width="6" style="620" customWidth="1"/>
    <col min="1799" max="1799" width="11.5703125" style="620" customWidth="1"/>
    <col min="1800" max="1800" width="13.42578125" style="620" customWidth="1"/>
    <col min="1801" max="1801" width="13.85546875" style="620" customWidth="1"/>
    <col min="1802" max="2048" width="9.140625" style="620"/>
    <col min="2049" max="2049" width="13" style="620" customWidth="1"/>
    <col min="2050" max="2050" width="9.140625" style="620"/>
    <col min="2051" max="2051" width="13" style="620" customWidth="1"/>
    <col min="2052" max="2052" width="29.7109375" style="620" customWidth="1"/>
    <col min="2053" max="2053" width="7.7109375" style="620" customWidth="1"/>
    <col min="2054" max="2054" width="6" style="620" customWidth="1"/>
    <col min="2055" max="2055" width="11.5703125" style="620" customWidth="1"/>
    <col min="2056" max="2056" width="13.42578125" style="620" customWidth="1"/>
    <col min="2057" max="2057" width="13.85546875" style="620" customWidth="1"/>
    <col min="2058" max="2304" width="9.140625" style="620"/>
    <col min="2305" max="2305" width="13" style="620" customWidth="1"/>
    <col min="2306" max="2306" width="9.140625" style="620"/>
    <col min="2307" max="2307" width="13" style="620" customWidth="1"/>
    <col min="2308" max="2308" width="29.7109375" style="620" customWidth="1"/>
    <col min="2309" max="2309" width="7.7109375" style="620" customWidth="1"/>
    <col min="2310" max="2310" width="6" style="620" customWidth="1"/>
    <col min="2311" max="2311" width="11.5703125" style="620" customWidth="1"/>
    <col min="2312" max="2312" width="13.42578125" style="620" customWidth="1"/>
    <col min="2313" max="2313" width="13.85546875" style="620" customWidth="1"/>
    <col min="2314" max="2560" width="9.140625" style="620"/>
    <col min="2561" max="2561" width="13" style="620" customWidth="1"/>
    <col min="2562" max="2562" width="9.140625" style="620"/>
    <col min="2563" max="2563" width="13" style="620" customWidth="1"/>
    <col min="2564" max="2564" width="29.7109375" style="620" customWidth="1"/>
    <col min="2565" max="2565" width="7.7109375" style="620" customWidth="1"/>
    <col min="2566" max="2566" width="6" style="620" customWidth="1"/>
    <col min="2567" max="2567" width="11.5703125" style="620" customWidth="1"/>
    <col min="2568" max="2568" width="13.42578125" style="620" customWidth="1"/>
    <col min="2569" max="2569" width="13.85546875" style="620" customWidth="1"/>
    <col min="2570" max="2816" width="9.140625" style="620"/>
    <col min="2817" max="2817" width="13" style="620" customWidth="1"/>
    <col min="2818" max="2818" width="9.140625" style="620"/>
    <col min="2819" max="2819" width="13" style="620" customWidth="1"/>
    <col min="2820" max="2820" width="29.7109375" style="620" customWidth="1"/>
    <col min="2821" max="2821" width="7.7109375" style="620" customWidth="1"/>
    <col min="2822" max="2822" width="6" style="620" customWidth="1"/>
    <col min="2823" max="2823" width="11.5703125" style="620" customWidth="1"/>
    <col min="2824" max="2824" width="13.42578125" style="620" customWidth="1"/>
    <col min="2825" max="2825" width="13.85546875" style="620" customWidth="1"/>
    <col min="2826" max="3072" width="9.140625" style="620"/>
    <col min="3073" max="3073" width="13" style="620" customWidth="1"/>
    <col min="3074" max="3074" width="9.140625" style="620"/>
    <col min="3075" max="3075" width="13" style="620" customWidth="1"/>
    <col min="3076" max="3076" width="29.7109375" style="620" customWidth="1"/>
    <col min="3077" max="3077" width="7.7109375" style="620" customWidth="1"/>
    <col min="3078" max="3078" width="6" style="620" customWidth="1"/>
    <col min="3079" max="3079" width="11.5703125" style="620" customWidth="1"/>
    <col min="3080" max="3080" width="13.42578125" style="620" customWidth="1"/>
    <col min="3081" max="3081" width="13.85546875" style="620" customWidth="1"/>
    <col min="3082" max="3328" width="9.140625" style="620"/>
    <col min="3329" max="3329" width="13" style="620" customWidth="1"/>
    <col min="3330" max="3330" width="9.140625" style="620"/>
    <col min="3331" max="3331" width="13" style="620" customWidth="1"/>
    <col min="3332" max="3332" width="29.7109375" style="620" customWidth="1"/>
    <col min="3333" max="3333" width="7.7109375" style="620" customWidth="1"/>
    <col min="3334" max="3334" width="6" style="620" customWidth="1"/>
    <col min="3335" max="3335" width="11.5703125" style="620" customWidth="1"/>
    <col min="3336" max="3336" width="13.42578125" style="620" customWidth="1"/>
    <col min="3337" max="3337" width="13.85546875" style="620" customWidth="1"/>
    <col min="3338" max="3584" width="9.140625" style="620"/>
    <col min="3585" max="3585" width="13" style="620" customWidth="1"/>
    <col min="3586" max="3586" width="9.140625" style="620"/>
    <col min="3587" max="3587" width="13" style="620" customWidth="1"/>
    <col min="3588" max="3588" width="29.7109375" style="620" customWidth="1"/>
    <col min="3589" max="3589" width="7.7109375" style="620" customWidth="1"/>
    <col min="3590" max="3590" width="6" style="620" customWidth="1"/>
    <col min="3591" max="3591" width="11.5703125" style="620" customWidth="1"/>
    <col min="3592" max="3592" width="13.42578125" style="620" customWidth="1"/>
    <col min="3593" max="3593" width="13.85546875" style="620" customWidth="1"/>
    <col min="3594" max="3840" width="9.140625" style="620"/>
    <col min="3841" max="3841" width="13" style="620" customWidth="1"/>
    <col min="3842" max="3842" width="9.140625" style="620"/>
    <col min="3843" max="3843" width="13" style="620" customWidth="1"/>
    <col min="3844" max="3844" width="29.7109375" style="620" customWidth="1"/>
    <col min="3845" max="3845" width="7.7109375" style="620" customWidth="1"/>
    <col min="3846" max="3846" width="6" style="620" customWidth="1"/>
    <col min="3847" max="3847" width="11.5703125" style="620" customWidth="1"/>
    <col min="3848" max="3848" width="13.42578125" style="620" customWidth="1"/>
    <col min="3849" max="3849" width="13.85546875" style="620" customWidth="1"/>
    <col min="3850" max="4096" width="9.140625" style="620"/>
    <col min="4097" max="4097" width="13" style="620" customWidth="1"/>
    <col min="4098" max="4098" width="9.140625" style="620"/>
    <col min="4099" max="4099" width="13" style="620" customWidth="1"/>
    <col min="4100" max="4100" width="29.7109375" style="620" customWidth="1"/>
    <col min="4101" max="4101" width="7.7109375" style="620" customWidth="1"/>
    <col min="4102" max="4102" width="6" style="620" customWidth="1"/>
    <col min="4103" max="4103" width="11.5703125" style="620" customWidth="1"/>
    <col min="4104" max="4104" width="13.42578125" style="620" customWidth="1"/>
    <col min="4105" max="4105" width="13.85546875" style="620" customWidth="1"/>
    <col min="4106" max="4352" width="9.140625" style="620"/>
    <col min="4353" max="4353" width="13" style="620" customWidth="1"/>
    <col min="4354" max="4354" width="9.140625" style="620"/>
    <col min="4355" max="4355" width="13" style="620" customWidth="1"/>
    <col min="4356" max="4356" width="29.7109375" style="620" customWidth="1"/>
    <col min="4357" max="4357" width="7.7109375" style="620" customWidth="1"/>
    <col min="4358" max="4358" width="6" style="620" customWidth="1"/>
    <col min="4359" max="4359" width="11.5703125" style="620" customWidth="1"/>
    <col min="4360" max="4360" width="13.42578125" style="620" customWidth="1"/>
    <col min="4361" max="4361" width="13.85546875" style="620" customWidth="1"/>
    <col min="4362" max="4608" width="9.140625" style="620"/>
    <col min="4609" max="4609" width="13" style="620" customWidth="1"/>
    <col min="4610" max="4610" width="9.140625" style="620"/>
    <col min="4611" max="4611" width="13" style="620" customWidth="1"/>
    <col min="4612" max="4612" width="29.7109375" style="620" customWidth="1"/>
    <col min="4613" max="4613" width="7.7109375" style="620" customWidth="1"/>
    <col min="4614" max="4614" width="6" style="620" customWidth="1"/>
    <col min="4615" max="4615" width="11.5703125" style="620" customWidth="1"/>
    <col min="4616" max="4616" width="13.42578125" style="620" customWidth="1"/>
    <col min="4617" max="4617" width="13.85546875" style="620" customWidth="1"/>
    <col min="4618" max="4864" width="9.140625" style="620"/>
    <col min="4865" max="4865" width="13" style="620" customWidth="1"/>
    <col min="4866" max="4866" width="9.140625" style="620"/>
    <col min="4867" max="4867" width="13" style="620" customWidth="1"/>
    <col min="4868" max="4868" width="29.7109375" style="620" customWidth="1"/>
    <col min="4869" max="4869" width="7.7109375" style="620" customWidth="1"/>
    <col min="4870" max="4870" width="6" style="620" customWidth="1"/>
    <col min="4871" max="4871" width="11.5703125" style="620" customWidth="1"/>
    <col min="4872" max="4872" width="13.42578125" style="620" customWidth="1"/>
    <col min="4873" max="4873" width="13.85546875" style="620" customWidth="1"/>
    <col min="4874" max="5120" width="9.140625" style="620"/>
    <col min="5121" max="5121" width="13" style="620" customWidth="1"/>
    <col min="5122" max="5122" width="9.140625" style="620"/>
    <col min="5123" max="5123" width="13" style="620" customWidth="1"/>
    <col min="5124" max="5124" width="29.7109375" style="620" customWidth="1"/>
    <col min="5125" max="5125" width="7.7109375" style="620" customWidth="1"/>
    <col min="5126" max="5126" width="6" style="620" customWidth="1"/>
    <col min="5127" max="5127" width="11.5703125" style="620" customWidth="1"/>
    <col min="5128" max="5128" width="13.42578125" style="620" customWidth="1"/>
    <col min="5129" max="5129" width="13.85546875" style="620" customWidth="1"/>
    <col min="5130" max="5376" width="9.140625" style="620"/>
    <col min="5377" max="5377" width="13" style="620" customWidth="1"/>
    <col min="5378" max="5378" width="9.140625" style="620"/>
    <col min="5379" max="5379" width="13" style="620" customWidth="1"/>
    <col min="5380" max="5380" width="29.7109375" style="620" customWidth="1"/>
    <col min="5381" max="5381" width="7.7109375" style="620" customWidth="1"/>
    <col min="5382" max="5382" width="6" style="620" customWidth="1"/>
    <col min="5383" max="5383" width="11.5703125" style="620" customWidth="1"/>
    <col min="5384" max="5384" width="13.42578125" style="620" customWidth="1"/>
    <col min="5385" max="5385" width="13.85546875" style="620" customWidth="1"/>
    <col min="5386" max="5632" width="9.140625" style="620"/>
    <col min="5633" max="5633" width="13" style="620" customWidth="1"/>
    <col min="5634" max="5634" width="9.140625" style="620"/>
    <col min="5635" max="5635" width="13" style="620" customWidth="1"/>
    <col min="5636" max="5636" width="29.7109375" style="620" customWidth="1"/>
    <col min="5637" max="5637" width="7.7109375" style="620" customWidth="1"/>
    <col min="5638" max="5638" width="6" style="620" customWidth="1"/>
    <col min="5639" max="5639" width="11.5703125" style="620" customWidth="1"/>
    <col min="5640" max="5640" width="13.42578125" style="620" customWidth="1"/>
    <col min="5641" max="5641" width="13.85546875" style="620" customWidth="1"/>
    <col min="5642" max="5888" width="9.140625" style="620"/>
    <col min="5889" max="5889" width="13" style="620" customWidth="1"/>
    <col min="5890" max="5890" width="9.140625" style="620"/>
    <col min="5891" max="5891" width="13" style="620" customWidth="1"/>
    <col min="5892" max="5892" width="29.7109375" style="620" customWidth="1"/>
    <col min="5893" max="5893" width="7.7109375" style="620" customWidth="1"/>
    <col min="5894" max="5894" width="6" style="620" customWidth="1"/>
    <col min="5895" max="5895" width="11.5703125" style="620" customWidth="1"/>
    <col min="5896" max="5896" width="13.42578125" style="620" customWidth="1"/>
    <col min="5897" max="5897" width="13.85546875" style="620" customWidth="1"/>
    <col min="5898" max="6144" width="9.140625" style="620"/>
    <col min="6145" max="6145" width="13" style="620" customWidth="1"/>
    <col min="6146" max="6146" width="9.140625" style="620"/>
    <col min="6147" max="6147" width="13" style="620" customWidth="1"/>
    <col min="6148" max="6148" width="29.7109375" style="620" customWidth="1"/>
    <col min="6149" max="6149" width="7.7109375" style="620" customWidth="1"/>
    <col min="6150" max="6150" width="6" style="620" customWidth="1"/>
    <col min="6151" max="6151" width="11.5703125" style="620" customWidth="1"/>
    <col min="6152" max="6152" width="13.42578125" style="620" customWidth="1"/>
    <col min="6153" max="6153" width="13.85546875" style="620" customWidth="1"/>
    <col min="6154" max="6400" width="9.140625" style="620"/>
    <col min="6401" max="6401" width="13" style="620" customWidth="1"/>
    <col min="6402" max="6402" width="9.140625" style="620"/>
    <col min="6403" max="6403" width="13" style="620" customWidth="1"/>
    <col min="6404" max="6404" width="29.7109375" style="620" customWidth="1"/>
    <col min="6405" max="6405" width="7.7109375" style="620" customWidth="1"/>
    <col min="6406" max="6406" width="6" style="620" customWidth="1"/>
    <col min="6407" max="6407" width="11.5703125" style="620" customWidth="1"/>
    <col min="6408" max="6408" width="13.42578125" style="620" customWidth="1"/>
    <col min="6409" max="6409" width="13.85546875" style="620" customWidth="1"/>
    <col min="6410" max="6656" width="9.140625" style="620"/>
    <col min="6657" max="6657" width="13" style="620" customWidth="1"/>
    <col min="6658" max="6658" width="9.140625" style="620"/>
    <col min="6659" max="6659" width="13" style="620" customWidth="1"/>
    <col min="6660" max="6660" width="29.7109375" style="620" customWidth="1"/>
    <col min="6661" max="6661" width="7.7109375" style="620" customWidth="1"/>
    <col min="6662" max="6662" width="6" style="620" customWidth="1"/>
    <col min="6663" max="6663" width="11.5703125" style="620" customWidth="1"/>
    <col min="6664" max="6664" width="13.42578125" style="620" customWidth="1"/>
    <col min="6665" max="6665" width="13.85546875" style="620" customWidth="1"/>
    <col min="6666" max="6912" width="9.140625" style="620"/>
    <col min="6913" max="6913" width="13" style="620" customWidth="1"/>
    <col min="6914" max="6914" width="9.140625" style="620"/>
    <col min="6915" max="6915" width="13" style="620" customWidth="1"/>
    <col min="6916" max="6916" width="29.7109375" style="620" customWidth="1"/>
    <col min="6917" max="6917" width="7.7109375" style="620" customWidth="1"/>
    <col min="6918" max="6918" width="6" style="620" customWidth="1"/>
    <col min="6919" max="6919" width="11.5703125" style="620" customWidth="1"/>
    <col min="6920" max="6920" width="13.42578125" style="620" customWidth="1"/>
    <col min="6921" max="6921" width="13.85546875" style="620" customWidth="1"/>
    <col min="6922" max="7168" width="9.140625" style="620"/>
    <col min="7169" max="7169" width="13" style="620" customWidth="1"/>
    <col min="7170" max="7170" width="9.140625" style="620"/>
    <col min="7171" max="7171" width="13" style="620" customWidth="1"/>
    <col min="7172" max="7172" width="29.7109375" style="620" customWidth="1"/>
    <col min="7173" max="7173" width="7.7109375" style="620" customWidth="1"/>
    <col min="7174" max="7174" width="6" style="620" customWidth="1"/>
    <col min="7175" max="7175" width="11.5703125" style="620" customWidth="1"/>
    <col min="7176" max="7176" width="13.42578125" style="620" customWidth="1"/>
    <col min="7177" max="7177" width="13.85546875" style="620" customWidth="1"/>
    <col min="7178" max="7424" width="9.140625" style="620"/>
    <col min="7425" max="7425" width="13" style="620" customWidth="1"/>
    <col min="7426" max="7426" width="9.140625" style="620"/>
    <col min="7427" max="7427" width="13" style="620" customWidth="1"/>
    <col min="7428" max="7428" width="29.7109375" style="620" customWidth="1"/>
    <col min="7429" max="7429" width="7.7109375" style="620" customWidth="1"/>
    <col min="7430" max="7430" width="6" style="620" customWidth="1"/>
    <col min="7431" max="7431" width="11.5703125" style="620" customWidth="1"/>
    <col min="7432" max="7432" width="13.42578125" style="620" customWidth="1"/>
    <col min="7433" max="7433" width="13.85546875" style="620" customWidth="1"/>
    <col min="7434" max="7680" width="9.140625" style="620"/>
    <col min="7681" max="7681" width="13" style="620" customWidth="1"/>
    <col min="7682" max="7682" width="9.140625" style="620"/>
    <col min="7683" max="7683" width="13" style="620" customWidth="1"/>
    <col min="7684" max="7684" width="29.7109375" style="620" customWidth="1"/>
    <col min="7685" max="7685" width="7.7109375" style="620" customWidth="1"/>
    <col min="7686" max="7686" width="6" style="620" customWidth="1"/>
    <col min="7687" max="7687" width="11.5703125" style="620" customWidth="1"/>
    <col min="7688" max="7688" width="13.42578125" style="620" customWidth="1"/>
    <col min="7689" max="7689" width="13.85546875" style="620" customWidth="1"/>
    <col min="7690" max="7936" width="9.140625" style="620"/>
    <col min="7937" max="7937" width="13" style="620" customWidth="1"/>
    <col min="7938" max="7938" width="9.140625" style="620"/>
    <col min="7939" max="7939" width="13" style="620" customWidth="1"/>
    <col min="7940" max="7940" width="29.7109375" style="620" customWidth="1"/>
    <col min="7941" max="7941" width="7.7109375" style="620" customWidth="1"/>
    <col min="7942" max="7942" width="6" style="620" customWidth="1"/>
    <col min="7943" max="7943" width="11.5703125" style="620" customWidth="1"/>
    <col min="7944" max="7944" width="13.42578125" style="620" customWidth="1"/>
    <col min="7945" max="7945" width="13.85546875" style="620" customWidth="1"/>
    <col min="7946" max="8192" width="9.140625" style="620"/>
    <col min="8193" max="8193" width="13" style="620" customWidth="1"/>
    <col min="8194" max="8194" width="9.140625" style="620"/>
    <col min="8195" max="8195" width="13" style="620" customWidth="1"/>
    <col min="8196" max="8196" width="29.7109375" style="620" customWidth="1"/>
    <col min="8197" max="8197" width="7.7109375" style="620" customWidth="1"/>
    <col min="8198" max="8198" width="6" style="620" customWidth="1"/>
    <col min="8199" max="8199" width="11.5703125" style="620" customWidth="1"/>
    <col min="8200" max="8200" width="13.42578125" style="620" customWidth="1"/>
    <col min="8201" max="8201" width="13.85546875" style="620" customWidth="1"/>
    <col min="8202" max="8448" width="9.140625" style="620"/>
    <col min="8449" max="8449" width="13" style="620" customWidth="1"/>
    <col min="8450" max="8450" width="9.140625" style="620"/>
    <col min="8451" max="8451" width="13" style="620" customWidth="1"/>
    <col min="8452" max="8452" width="29.7109375" style="620" customWidth="1"/>
    <col min="8453" max="8453" width="7.7109375" style="620" customWidth="1"/>
    <col min="8454" max="8454" width="6" style="620" customWidth="1"/>
    <col min="8455" max="8455" width="11.5703125" style="620" customWidth="1"/>
    <col min="8456" max="8456" width="13.42578125" style="620" customWidth="1"/>
    <col min="8457" max="8457" width="13.85546875" style="620" customWidth="1"/>
    <col min="8458" max="8704" width="9.140625" style="620"/>
    <col min="8705" max="8705" width="13" style="620" customWidth="1"/>
    <col min="8706" max="8706" width="9.140625" style="620"/>
    <col min="8707" max="8707" width="13" style="620" customWidth="1"/>
    <col min="8708" max="8708" width="29.7109375" style="620" customWidth="1"/>
    <col min="8709" max="8709" width="7.7109375" style="620" customWidth="1"/>
    <col min="8710" max="8710" width="6" style="620" customWidth="1"/>
    <col min="8711" max="8711" width="11.5703125" style="620" customWidth="1"/>
    <col min="8712" max="8712" width="13.42578125" style="620" customWidth="1"/>
    <col min="8713" max="8713" width="13.85546875" style="620" customWidth="1"/>
    <col min="8714" max="8960" width="9.140625" style="620"/>
    <col min="8961" max="8961" width="13" style="620" customWidth="1"/>
    <col min="8962" max="8962" width="9.140625" style="620"/>
    <col min="8963" max="8963" width="13" style="620" customWidth="1"/>
    <col min="8964" max="8964" width="29.7109375" style="620" customWidth="1"/>
    <col min="8965" max="8965" width="7.7109375" style="620" customWidth="1"/>
    <col min="8966" max="8966" width="6" style="620" customWidth="1"/>
    <col min="8967" max="8967" width="11.5703125" style="620" customWidth="1"/>
    <col min="8968" max="8968" width="13.42578125" style="620" customWidth="1"/>
    <col min="8969" max="8969" width="13.85546875" style="620" customWidth="1"/>
    <col min="8970" max="9216" width="9.140625" style="620"/>
    <col min="9217" max="9217" width="13" style="620" customWidth="1"/>
    <col min="9218" max="9218" width="9.140625" style="620"/>
    <col min="9219" max="9219" width="13" style="620" customWidth="1"/>
    <col min="9220" max="9220" width="29.7109375" style="620" customWidth="1"/>
    <col min="9221" max="9221" width="7.7109375" style="620" customWidth="1"/>
    <col min="9222" max="9222" width="6" style="620" customWidth="1"/>
    <col min="9223" max="9223" width="11.5703125" style="620" customWidth="1"/>
    <col min="9224" max="9224" width="13.42578125" style="620" customWidth="1"/>
    <col min="9225" max="9225" width="13.85546875" style="620" customWidth="1"/>
    <col min="9226" max="9472" width="9.140625" style="620"/>
    <col min="9473" max="9473" width="13" style="620" customWidth="1"/>
    <col min="9474" max="9474" width="9.140625" style="620"/>
    <col min="9475" max="9475" width="13" style="620" customWidth="1"/>
    <col min="9476" max="9476" width="29.7109375" style="620" customWidth="1"/>
    <col min="9477" max="9477" width="7.7109375" style="620" customWidth="1"/>
    <col min="9478" max="9478" width="6" style="620" customWidth="1"/>
    <col min="9479" max="9479" width="11.5703125" style="620" customWidth="1"/>
    <col min="9480" max="9480" width="13.42578125" style="620" customWidth="1"/>
    <col min="9481" max="9481" width="13.85546875" style="620" customWidth="1"/>
    <col min="9482" max="9728" width="9.140625" style="620"/>
    <col min="9729" max="9729" width="13" style="620" customWidth="1"/>
    <col min="9730" max="9730" width="9.140625" style="620"/>
    <col min="9731" max="9731" width="13" style="620" customWidth="1"/>
    <col min="9732" max="9732" width="29.7109375" style="620" customWidth="1"/>
    <col min="9733" max="9733" width="7.7109375" style="620" customWidth="1"/>
    <col min="9734" max="9734" width="6" style="620" customWidth="1"/>
    <col min="9735" max="9735" width="11.5703125" style="620" customWidth="1"/>
    <col min="9736" max="9736" width="13.42578125" style="620" customWidth="1"/>
    <col min="9737" max="9737" width="13.85546875" style="620" customWidth="1"/>
    <col min="9738" max="9984" width="9.140625" style="620"/>
    <col min="9985" max="9985" width="13" style="620" customWidth="1"/>
    <col min="9986" max="9986" width="9.140625" style="620"/>
    <col min="9987" max="9987" width="13" style="620" customWidth="1"/>
    <col min="9988" max="9988" width="29.7109375" style="620" customWidth="1"/>
    <col min="9989" max="9989" width="7.7109375" style="620" customWidth="1"/>
    <col min="9990" max="9990" width="6" style="620" customWidth="1"/>
    <col min="9991" max="9991" width="11.5703125" style="620" customWidth="1"/>
    <col min="9992" max="9992" width="13.42578125" style="620" customWidth="1"/>
    <col min="9993" max="9993" width="13.85546875" style="620" customWidth="1"/>
    <col min="9994" max="10240" width="9.140625" style="620"/>
    <col min="10241" max="10241" width="13" style="620" customWidth="1"/>
    <col min="10242" max="10242" width="9.140625" style="620"/>
    <col min="10243" max="10243" width="13" style="620" customWidth="1"/>
    <col min="10244" max="10244" width="29.7109375" style="620" customWidth="1"/>
    <col min="10245" max="10245" width="7.7109375" style="620" customWidth="1"/>
    <col min="10246" max="10246" width="6" style="620" customWidth="1"/>
    <col min="10247" max="10247" width="11.5703125" style="620" customWidth="1"/>
    <col min="10248" max="10248" width="13.42578125" style="620" customWidth="1"/>
    <col min="10249" max="10249" width="13.85546875" style="620" customWidth="1"/>
    <col min="10250" max="10496" width="9.140625" style="620"/>
    <col min="10497" max="10497" width="13" style="620" customWidth="1"/>
    <col min="10498" max="10498" width="9.140625" style="620"/>
    <col min="10499" max="10499" width="13" style="620" customWidth="1"/>
    <col min="10500" max="10500" width="29.7109375" style="620" customWidth="1"/>
    <col min="10501" max="10501" width="7.7109375" style="620" customWidth="1"/>
    <col min="10502" max="10502" width="6" style="620" customWidth="1"/>
    <col min="10503" max="10503" width="11.5703125" style="620" customWidth="1"/>
    <col min="10504" max="10504" width="13.42578125" style="620" customWidth="1"/>
    <col min="10505" max="10505" width="13.85546875" style="620" customWidth="1"/>
    <col min="10506" max="10752" width="9.140625" style="620"/>
    <col min="10753" max="10753" width="13" style="620" customWidth="1"/>
    <col min="10754" max="10754" width="9.140625" style="620"/>
    <col min="10755" max="10755" width="13" style="620" customWidth="1"/>
    <col min="10756" max="10756" width="29.7109375" style="620" customWidth="1"/>
    <col min="10757" max="10757" width="7.7109375" style="620" customWidth="1"/>
    <col min="10758" max="10758" width="6" style="620" customWidth="1"/>
    <col min="10759" max="10759" width="11.5703125" style="620" customWidth="1"/>
    <col min="10760" max="10760" width="13.42578125" style="620" customWidth="1"/>
    <col min="10761" max="10761" width="13.85546875" style="620" customWidth="1"/>
    <col min="10762" max="11008" width="9.140625" style="620"/>
    <col min="11009" max="11009" width="13" style="620" customWidth="1"/>
    <col min="11010" max="11010" width="9.140625" style="620"/>
    <col min="11011" max="11011" width="13" style="620" customWidth="1"/>
    <col min="11012" max="11012" width="29.7109375" style="620" customWidth="1"/>
    <col min="11013" max="11013" width="7.7109375" style="620" customWidth="1"/>
    <col min="11014" max="11014" width="6" style="620" customWidth="1"/>
    <col min="11015" max="11015" width="11.5703125" style="620" customWidth="1"/>
    <col min="11016" max="11016" width="13.42578125" style="620" customWidth="1"/>
    <col min="11017" max="11017" width="13.85546875" style="620" customWidth="1"/>
    <col min="11018" max="11264" width="9.140625" style="620"/>
    <col min="11265" max="11265" width="13" style="620" customWidth="1"/>
    <col min="11266" max="11266" width="9.140625" style="620"/>
    <col min="11267" max="11267" width="13" style="620" customWidth="1"/>
    <col min="11268" max="11268" width="29.7109375" style="620" customWidth="1"/>
    <col min="11269" max="11269" width="7.7109375" style="620" customWidth="1"/>
    <col min="11270" max="11270" width="6" style="620" customWidth="1"/>
    <col min="11271" max="11271" width="11.5703125" style="620" customWidth="1"/>
    <col min="11272" max="11272" width="13.42578125" style="620" customWidth="1"/>
    <col min="11273" max="11273" width="13.85546875" style="620" customWidth="1"/>
    <col min="11274" max="11520" width="9.140625" style="620"/>
    <col min="11521" max="11521" width="13" style="620" customWidth="1"/>
    <col min="11522" max="11522" width="9.140625" style="620"/>
    <col min="11523" max="11523" width="13" style="620" customWidth="1"/>
    <col min="11524" max="11524" width="29.7109375" style="620" customWidth="1"/>
    <col min="11525" max="11525" width="7.7109375" style="620" customWidth="1"/>
    <col min="11526" max="11526" width="6" style="620" customWidth="1"/>
    <col min="11527" max="11527" width="11.5703125" style="620" customWidth="1"/>
    <col min="11528" max="11528" width="13.42578125" style="620" customWidth="1"/>
    <col min="11529" max="11529" width="13.85546875" style="620" customWidth="1"/>
    <col min="11530" max="11776" width="9.140625" style="620"/>
    <col min="11777" max="11777" width="13" style="620" customWidth="1"/>
    <col min="11778" max="11778" width="9.140625" style="620"/>
    <col min="11779" max="11779" width="13" style="620" customWidth="1"/>
    <col min="11780" max="11780" width="29.7109375" style="620" customWidth="1"/>
    <col min="11781" max="11781" width="7.7109375" style="620" customWidth="1"/>
    <col min="11782" max="11782" width="6" style="620" customWidth="1"/>
    <col min="11783" max="11783" width="11.5703125" style="620" customWidth="1"/>
    <col min="11784" max="11784" width="13.42578125" style="620" customWidth="1"/>
    <col min="11785" max="11785" width="13.85546875" style="620" customWidth="1"/>
    <col min="11786" max="12032" width="9.140625" style="620"/>
    <col min="12033" max="12033" width="13" style="620" customWidth="1"/>
    <col min="12034" max="12034" width="9.140625" style="620"/>
    <col min="12035" max="12035" width="13" style="620" customWidth="1"/>
    <col min="12036" max="12036" width="29.7109375" style="620" customWidth="1"/>
    <col min="12037" max="12037" width="7.7109375" style="620" customWidth="1"/>
    <col min="12038" max="12038" width="6" style="620" customWidth="1"/>
    <col min="12039" max="12039" width="11.5703125" style="620" customWidth="1"/>
    <col min="12040" max="12040" width="13.42578125" style="620" customWidth="1"/>
    <col min="12041" max="12041" width="13.85546875" style="620" customWidth="1"/>
    <col min="12042" max="12288" width="9.140625" style="620"/>
    <col min="12289" max="12289" width="13" style="620" customWidth="1"/>
    <col min="12290" max="12290" width="9.140625" style="620"/>
    <col min="12291" max="12291" width="13" style="620" customWidth="1"/>
    <col min="12292" max="12292" width="29.7109375" style="620" customWidth="1"/>
    <col min="12293" max="12293" width="7.7109375" style="620" customWidth="1"/>
    <col min="12294" max="12294" width="6" style="620" customWidth="1"/>
    <col min="12295" max="12295" width="11.5703125" style="620" customWidth="1"/>
    <col min="12296" max="12296" width="13.42578125" style="620" customWidth="1"/>
    <col min="12297" max="12297" width="13.85546875" style="620" customWidth="1"/>
    <col min="12298" max="12544" width="9.140625" style="620"/>
    <col min="12545" max="12545" width="13" style="620" customWidth="1"/>
    <col min="12546" max="12546" width="9.140625" style="620"/>
    <col min="12547" max="12547" width="13" style="620" customWidth="1"/>
    <col min="12548" max="12548" width="29.7109375" style="620" customWidth="1"/>
    <col min="12549" max="12549" width="7.7109375" style="620" customWidth="1"/>
    <col min="12550" max="12550" width="6" style="620" customWidth="1"/>
    <col min="12551" max="12551" width="11.5703125" style="620" customWidth="1"/>
    <col min="12552" max="12552" width="13.42578125" style="620" customWidth="1"/>
    <col min="12553" max="12553" width="13.85546875" style="620" customWidth="1"/>
    <col min="12554" max="12800" width="9.140625" style="620"/>
    <col min="12801" max="12801" width="13" style="620" customWidth="1"/>
    <col min="12802" max="12802" width="9.140625" style="620"/>
    <col min="12803" max="12803" width="13" style="620" customWidth="1"/>
    <col min="12804" max="12804" width="29.7109375" style="620" customWidth="1"/>
    <col min="12805" max="12805" width="7.7109375" style="620" customWidth="1"/>
    <col min="12806" max="12806" width="6" style="620" customWidth="1"/>
    <col min="12807" max="12807" width="11.5703125" style="620" customWidth="1"/>
    <col min="12808" max="12808" width="13.42578125" style="620" customWidth="1"/>
    <col min="12809" max="12809" width="13.85546875" style="620" customWidth="1"/>
    <col min="12810" max="13056" width="9.140625" style="620"/>
    <col min="13057" max="13057" width="13" style="620" customWidth="1"/>
    <col min="13058" max="13058" width="9.140625" style="620"/>
    <col min="13059" max="13059" width="13" style="620" customWidth="1"/>
    <col min="13060" max="13060" width="29.7109375" style="620" customWidth="1"/>
    <col min="13061" max="13061" width="7.7109375" style="620" customWidth="1"/>
    <col min="13062" max="13062" width="6" style="620" customWidth="1"/>
    <col min="13063" max="13063" width="11.5703125" style="620" customWidth="1"/>
    <col min="13064" max="13064" width="13.42578125" style="620" customWidth="1"/>
    <col min="13065" max="13065" width="13.85546875" style="620" customWidth="1"/>
    <col min="13066" max="13312" width="9.140625" style="620"/>
    <col min="13313" max="13313" width="13" style="620" customWidth="1"/>
    <col min="13314" max="13314" width="9.140625" style="620"/>
    <col min="13315" max="13315" width="13" style="620" customWidth="1"/>
    <col min="13316" max="13316" width="29.7109375" style="620" customWidth="1"/>
    <col min="13317" max="13317" width="7.7109375" style="620" customWidth="1"/>
    <col min="13318" max="13318" width="6" style="620" customWidth="1"/>
    <col min="13319" max="13319" width="11.5703125" style="620" customWidth="1"/>
    <col min="13320" max="13320" width="13.42578125" style="620" customWidth="1"/>
    <col min="13321" max="13321" width="13.85546875" style="620" customWidth="1"/>
    <col min="13322" max="13568" width="9.140625" style="620"/>
    <col min="13569" max="13569" width="13" style="620" customWidth="1"/>
    <col min="13570" max="13570" width="9.140625" style="620"/>
    <col min="13571" max="13571" width="13" style="620" customWidth="1"/>
    <col min="13572" max="13572" width="29.7109375" style="620" customWidth="1"/>
    <col min="13573" max="13573" width="7.7109375" style="620" customWidth="1"/>
    <col min="13574" max="13574" width="6" style="620" customWidth="1"/>
    <col min="13575" max="13575" width="11.5703125" style="620" customWidth="1"/>
    <col min="13576" max="13576" width="13.42578125" style="620" customWidth="1"/>
    <col min="13577" max="13577" width="13.85546875" style="620" customWidth="1"/>
    <col min="13578" max="13824" width="9.140625" style="620"/>
    <col min="13825" max="13825" width="13" style="620" customWidth="1"/>
    <col min="13826" max="13826" width="9.140625" style="620"/>
    <col min="13827" max="13827" width="13" style="620" customWidth="1"/>
    <col min="13828" max="13828" width="29.7109375" style="620" customWidth="1"/>
    <col min="13829" max="13829" width="7.7109375" style="620" customWidth="1"/>
    <col min="13830" max="13830" width="6" style="620" customWidth="1"/>
    <col min="13831" max="13831" width="11.5703125" style="620" customWidth="1"/>
    <col min="13832" max="13832" width="13.42578125" style="620" customWidth="1"/>
    <col min="13833" max="13833" width="13.85546875" style="620" customWidth="1"/>
    <col min="13834" max="14080" width="9.140625" style="620"/>
    <col min="14081" max="14081" width="13" style="620" customWidth="1"/>
    <col min="14082" max="14082" width="9.140625" style="620"/>
    <col min="14083" max="14083" width="13" style="620" customWidth="1"/>
    <col min="14084" max="14084" width="29.7109375" style="620" customWidth="1"/>
    <col min="14085" max="14085" width="7.7109375" style="620" customWidth="1"/>
    <col min="14086" max="14086" width="6" style="620" customWidth="1"/>
    <col min="14087" max="14087" width="11.5703125" style="620" customWidth="1"/>
    <col min="14088" max="14088" width="13.42578125" style="620" customWidth="1"/>
    <col min="14089" max="14089" width="13.85546875" style="620" customWidth="1"/>
    <col min="14090" max="14336" width="9.140625" style="620"/>
    <col min="14337" max="14337" width="13" style="620" customWidth="1"/>
    <col min="14338" max="14338" width="9.140625" style="620"/>
    <col min="14339" max="14339" width="13" style="620" customWidth="1"/>
    <col min="14340" max="14340" width="29.7109375" style="620" customWidth="1"/>
    <col min="14341" max="14341" width="7.7109375" style="620" customWidth="1"/>
    <col min="14342" max="14342" width="6" style="620" customWidth="1"/>
    <col min="14343" max="14343" width="11.5703125" style="620" customWidth="1"/>
    <col min="14344" max="14344" width="13.42578125" style="620" customWidth="1"/>
    <col min="14345" max="14345" width="13.85546875" style="620" customWidth="1"/>
    <col min="14346" max="14592" width="9.140625" style="620"/>
    <col min="14593" max="14593" width="13" style="620" customWidth="1"/>
    <col min="14594" max="14594" width="9.140625" style="620"/>
    <col min="14595" max="14595" width="13" style="620" customWidth="1"/>
    <col min="14596" max="14596" width="29.7109375" style="620" customWidth="1"/>
    <col min="14597" max="14597" width="7.7109375" style="620" customWidth="1"/>
    <col min="14598" max="14598" width="6" style="620" customWidth="1"/>
    <col min="14599" max="14599" width="11.5703125" style="620" customWidth="1"/>
    <col min="14600" max="14600" width="13.42578125" style="620" customWidth="1"/>
    <col min="14601" max="14601" width="13.85546875" style="620" customWidth="1"/>
    <col min="14602" max="14848" width="9.140625" style="620"/>
    <col min="14849" max="14849" width="13" style="620" customWidth="1"/>
    <col min="14850" max="14850" width="9.140625" style="620"/>
    <col min="14851" max="14851" width="13" style="620" customWidth="1"/>
    <col min="14852" max="14852" width="29.7109375" style="620" customWidth="1"/>
    <col min="14853" max="14853" width="7.7109375" style="620" customWidth="1"/>
    <col min="14854" max="14854" width="6" style="620" customWidth="1"/>
    <col min="14855" max="14855" width="11.5703125" style="620" customWidth="1"/>
    <col min="14856" max="14856" width="13.42578125" style="620" customWidth="1"/>
    <col min="14857" max="14857" width="13.85546875" style="620" customWidth="1"/>
    <col min="14858" max="15104" width="9.140625" style="620"/>
    <col min="15105" max="15105" width="13" style="620" customWidth="1"/>
    <col min="15106" max="15106" width="9.140625" style="620"/>
    <col min="15107" max="15107" width="13" style="620" customWidth="1"/>
    <col min="15108" max="15108" width="29.7109375" style="620" customWidth="1"/>
    <col min="15109" max="15109" width="7.7109375" style="620" customWidth="1"/>
    <col min="15110" max="15110" width="6" style="620" customWidth="1"/>
    <col min="15111" max="15111" width="11.5703125" style="620" customWidth="1"/>
    <col min="15112" max="15112" width="13.42578125" style="620" customWidth="1"/>
    <col min="15113" max="15113" width="13.85546875" style="620" customWidth="1"/>
    <col min="15114" max="15360" width="9.140625" style="620"/>
    <col min="15361" max="15361" width="13" style="620" customWidth="1"/>
    <col min="15362" max="15362" width="9.140625" style="620"/>
    <col min="15363" max="15363" width="13" style="620" customWidth="1"/>
    <col min="15364" max="15364" width="29.7109375" style="620" customWidth="1"/>
    <col min="15365" max="15365" width="7.7109375" style="620" customWidth="1"/>
    <col min="15366" max="15366" width="6" style="620" customWidth="1"/>
    <col min="15367" max="15367" width="11.5703125" style="620" customWidth="1"/>
    <col min="15368" max="15368" width="13.42578125" style="620" customWidth="1"/>
    <col min="15369" max="15369" width="13.85546875" style="620" customWidth="1"/>
    <col min="15370" max="15616" width="9.140625" style="620"/>
    <col min="15617" max="15617" width="13" style="620" customWidth="1"/>
    <col min="15618" max="15618" width="9.140625" style="620"/>
    <col min="15619" max="15619" width="13" style="620" customWidth="1"/>
    <col min="15620" max="15620" width="29.7109375" style="620" customWidth="1"/>
    <col min="15621" max="15621" width="7.7109375" style="620" customWidth="1"/>
    <col min="15622" max="15622" width="6" style="620" customWidth="1"/>
    <col min="15623" max="15623" width="11.5703125" style="620" customWidth="1"/>
    <col min="15624" max="15624" width="13.42578125" style="620" customWidth="1"/>
    <col min="15625" max="15625" width="13.85546875" style="620" customWidth="1"/>
    <col min="15626" max="15872" width="9.140625" style="620"/>
    <col min="15873" max="15873" width="13" style="620" customWidth="1"/>
    <col min="15874" max="15874" width="9.140625" style="620"/>
    <col min="15875" max="15875" width="13" style="620" customWidth="1"/>
    <col min="15876" max="15876" width="29.7109375" style="620" customWidth="1"/>
    <col min="15877" max="15877" width="7.7109375" style="620" customWidth="1"/>
    <col min="15878" max="15878" width="6" style="620" customWidth="1"/>
    <col min="15879" max="15879" width="11.5703125" style="620" customWidth="1"/>
    <col min="15880" max="15880" width="13.42578125" style="620" customWidth="1"/>
    <col min="15881" max="15881" width="13.85546875" style="620" customWidth="1"/>
    <col min="15882" max="16128" width="9.140625" style="620"/>
    <col min="16129" max="16129" width="13" style="620" customWidth="1"/>
    <col min="16130" max="16130" width="9.140625" style="620"/>
    <col min="16131" max="16131" width="13" style="620" customWidth="1"/>
    <col min="16132" max="16132" width="29.7109375" style="620" customWidth="1"/>
    <col min="16133" max="16133" width="7.7109375" style="620" customWidth="1"/>
    <col min="16134" max="16134" width="6" style="620" customWidth="1"/>
    <col min="16135" max="16135" width="11.5703125" style="620" customWidth="1"/>
    <col min="16136" max="16136" width="13.42578125" style="620" customWidth="1"/>
    <col min="16137" max="16137" width="13.85546875" style="620" customWidth="1"/>
    <col min="16138" max="16384" width="9.140625" style="620"/>
  </cols>
  <sheetData>
    <row r="1" spans="1:14">
      <c r="A1" s="619" t="str">
        <f>TH!A1</f>
        <v>Đơn vị: CÔNG TY TNHH SX TM KIM DUNG PHÁT</v>
      </c>
      <c r="F1" s="968" t="s">
        <v>340</v>
      </c>
      <c r="G1" s="968"/>
      <c r="H1" s="968"/>
      <c r="I1" s="968"/>
    </row>
    <row r="2" spans="1:14">
      <c r="A2" s="620" t="str">
        <f>TH!A2</f>
        <v>Địa chỉ: 1A227/1 Ấp 1, Phạm Văn Hai, Bình Chánh, TPHCM</v>
      </c>
      <c r="F2" s="96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67"/>
      <c r="H2" s="967"/>
      <c r="I2" s="967"/>
    </row>
    <row r="3" spans="1:14">
      <c r="F3" s="967"/>
      <c r="G3" s="967"/>
      <c r="H3" s="967"/>
      <c r="I3" s="967"/>
    </row>
    <row r="4" spans="1:14">
      <c r="H4" s="621"/>
      <c r="I4" s="621"/>
    </row>
    <row r="5" spans="1:14" ht="26.25" customHeight="1">
      <c r="B5" s="622"/>
      <c r="C5" s="622"/>
      <c r="D5" s="623" t="s">
        <v>341</v>
      </c>
      <c r="E5" s="622"/>
      <c r="F5" s="622"/>
      <c r="G5" s="622"/>
      <c r="H5" s="622"/>
      <c r="I5" s="622"/>
      <c r="J5" s="622"/>
      <c r="K5" s="622"/>
    </row>
    <row r="6" spans="1:14">
      <c r="B6" s="624"/>
      <c r="C6" s="624"/>
      <c r="D6" s="625" t="str">
        <f ca="1">$K$9&amp;"   -   Năm:  " &amp;YEAR(A11)</f>
        <v>Quý III   -   Năm:  2016</v>
      </c>
      <c r="E6" s="624"/>
      <c r="F6" s="624"/>
      <c r="G6" s="624"/>
      <c r="H6" s="624"/>
      <c r="I6" s="624"/>
      <c r="J6" s="624"/>
      <c r="K6" s="624"/>
    </row>
    <row r="7" spans="1:14">
      <c r="A7" s="626"/>
      <c r="B7" s="626"/>
      <c r="C7" s="626"/>
      <c r="D7" s="626"/>
      <c r="E7" s="626"/>
      <c r="F7" s="626"/>
      <c r="G7" s="626"/>
      <c r="H7" s="971" t="s">
        <v>123</v>
      </c>
      <c r="I7" s="971"/>
      <c r="J7" s="626"/>
      <c r="K7" s="626"/>
      <c r="M7" s="970" t="s">
        <v>331</v>
      </c>
      <c r="N7" s="970"/>
    </row>
    <row r="8" spans="1:14" s="802" customFormat="1" ht="23.25" customHeight="1" thickBot="1">
      <c r="A8" s="961" t="s">
        <v>342</v>
      </c>
      <c r="B8" s="963" t="s">
        <v>1</v>
      </c>
      <c r="C8" s="964"/>
      <c r="D8" s="965" t="s">
        <v>0</v>
      </c>
      <c r="E8" s="961" t="s">
        <v>343</v>
      </c>
      <c r="F8" s="969" t="s">
        <v>94</v>
      </c>
      <c r="G8" s="969"/>
      <c r="H8" s="963" t="s">
        <v>21</v>
      </c>
      <c r="I8" s="964"/>
      <c r="J8" s="801"/>
      <c r="K8" s="801"/>
      <c r="M8" s="803">
        <f>IF(K9="Quý I",1,IF(K9="Quý II",4,IF(K9="Quý III",7,IF(K9="Quý IV",10,""))))</f>
        <v>7</v>
      </c>
      <c r="N8" s="803">
        <f>IF(K9="Quý I",3,IF(K9="Quý II",6,IF(K9="Quý III",9,IF(K9="Quý IV",12,""))))</f>
        <v>9</v>
      </c>
    </row>
    <row r="9" spans="1:14" s="802" customFormat="1" ht="28.5" customHeight="1" thickBot="1">
      <c r="A9" s="962"/>
      <c r="B9" s="804" t="s">
        <v>15</v>
      </c>
      <c r="C9" s="804" t="s">
        <v>32</v>
      </c>
      <c r="D9" s="966"/>
      <c r="E9" s="962"/>
      <c r="F9" s="805" t="s">
        <v>22</v>
      </c>
      <c r="G9" s="805" t="s">
        <v>23</v>
      </c>
      <c r="H9" s="804" t="s">
        <v>344</v>
      </c>
      <c r="I9" s="804" t="s">
        <v>23</v>
      </c>
      <c r="K9" s="722" t="s">
        <v>411</v>
      </c>
    </row>
    <row r="10" spans="1:14" s="802" customFormat="1" ht="21" customHeight="1">
      <c r="A10" s="806"/>
      <c r="B10" s="806"/>
      <c r="C10" s="806"/>
      <c r="D10" s="807" t="s">
        <v>347</v>
      </c>
      <c r="E10" s="808"/>
      <c r="F10" s="806"/>
      <c r="G10" s="806"/>
      <c r="H10" s="809">
        <f>SUMIF(_M,"&lt;"&amp;$M$8,TH)</f>
        <v>398496300</v>
      </c>
      <c r="I10" s="809">
        <f>SUMIF(_M,"&lt;"&amp;$M$8,TH)</f>
        <v>398496300</v>
      </c>
    </row>
    <row r="11" spans="1:14" s="802" customFormat="1" ht="21" customHeight="1">
      <c r="A11" s="810">
        <f ca="1">IF(ROWS($1:1)&gt;COUNT(Dong6),"",OFFSET(TH!C$1,SMALL(Dong6,ROWS($1:1)),))</f>
        <v>42552</v>
      </c>
      <c r="B11" s="811" t="str">
        <f ca="1">IF(ROWS($1:1)&gt;COUNT(Dong6),"",OFFSET(TH!D$1,SMALL(Dong6,ROWS($1:1)),))</f>
        <v>C01</v>
      </c>
      <c r="C11" s="810">
        <f ca="1">IF(ROWS($1:1)&gt;COUNT(Dong6),"",OFFSET(TH!E$1,SMALL(Dong6,ROWS($1:1)),))</f>
        <v>42508</v>
      </c>
      <c r="D11" s="812" t="str">
        <f ca="1">IF(ROWS($1:1)&gt;COUNT(Dong6),"",OFFSET(TH!F$1,SMALL(Dong6,ROWS($1:1)),))</f>
        <v>Chữ ký số</v>
      </c>
      <c r="E11" s="811">
        <f t="shared" ref="E11:E40" ca="1" si="0">IF(D11&lt;&gt;"",ROW()-10,"")</f>
        <v>1</v>
      </c>
      <c r="F11" s="813" t="str">
        <f ca="1">IF(ROWS($1:1)&gt;COUNT(Dong6),"",OFFSET(TH!L$1,SMALL(Dong6,ROWS($1:1)),))</f>
        <v>642</v>
      </c>
      <c r="G11" s="813" t="str">
        <f ca="1">IF(ROWS($1:1)&gt;COUNT(Dong6),"",OFFSET(TH!M$1,SMALL(Dong6,ROWS($1:1)),))</f>
        <v>1111</v>
      </c>
      <c r="H11" s="707">
        <f ca="1">IF(ROWS($1:1)&gt;COUNT(Dong6),"",OFFSET(TH!K$1,SMALL(Dong6,ROWS($1:1)),))</f>
        <v>2160000</v>
      </c>
      <c r="I11" s="707">
        <f ca="1">IF(ROWS($1:1)&gt;COUNT(Dong6),"",OFFSET(TH!K$1,SMALL(Dong6,ROWS($1:1)),))</f>
        <v>2160000</v>
      </c>
    </row>
    <row r="12" spans="1:14" s="802" customFormat="1" ht="21" customHeight="1">
      <c r="A12" s="810">
        <f ca="1">IF(ROWS($1:2)&gt;COUNT(Dong6),"",OFFSET(TH!C$1,SMALL(Dong6,ROWS($1:2)),))</f>
        <v>42552</v>
      </c>
      <c r="B12" s="811" t="str">
        <f ca="1">IF(ROWS($1:2)&gt;COUNT(Dong6),"",OFFSET(TH!D$1,SMALL(Dong6,ROWS($1:2)),))</f>
        <v>C01</v>
      </c>
      <c r="C12" s="810">
        <f ca="1">IF(ROWS($1:2)&gt;COUNT(Dong6),"",OFFSET(TH!E$1,SMALL(Dong6,ROWS($1:2)),))</f>
        <v>42508</v>
      </c>
      <c r="D12" s="812" t="str">
        <f ca="1">IF(ROWS($1:2)&gt;COUNT(Dong6),"",OFFSET(TH!F$1,SMALL(Dong6,ROWS($1:2)),))</f>
        <v>VAT Chữ ký số</v>
      </c>
      <c r="E12" s="811">
        <f t="shared" ca="1" si="0"/>
        <v>2</v>
      </c>
      <c r="F12" s="813" t="str">
        <f ca="1">IF(ROWS($1:2)&gt;COUNT(Dong6),"",OFFSET(TH!L$1,SMALL(Dong6,ROWS($1:2)),))</f>
        <v>1331</v>
      </c>
      <c r="G12" s="813" t="str">
        <f ca="1">IF(ROWS($1:2)&gt;COUNT(Dong6),"",OFFSET(TH!M$1,SMALL(Dong6,ROWS($1:2)),))</f>
        <v>1111</v>
      </c>
      <c r="H12" s="707">
        <f ca="1">IF(ROWS($1:2)&gt;COUNT(Dong6),"",OFFSET(TH!K$1,SMALL(Dong6,ROWS($1:2)),))</f>
        <v>216000</v>
      </c>
      <c r="I12" s="707">
        <f ca="1">IF(ROWS($1:2)&gt;COUNT(Dong6),"",OFFSET(TH!K$1,SMALL(Dong6,ROWS($1:2)),))</f>
        <v>216000</v>
      </c>
    </row>
    <row r="13" spans="1:14" s="802" customFormat="1" ht="21" customHeight="1">
      <c r="A13" s="810">
        <f ca="1">IF(ROWS($1:3)&gt;COUNT(Dong6),"",OFFSET(TH!C$1,SMALL(Dong6,ROWS($1:3)),))</f>
        <v>42552</v>
      </c>
      <c r="B13" s="811" t="str">
        <f ca="1">IF(ROWS($1:3)&gt;COUNT(Dong6),"",OFFSET(TH!D$1,SMALL(Dong6,ROWS($1:3)),))</f>
        <v>C02</v>
      </c>
      <c r="C13" s="810">
        <f ca="1">IF(ROWS($1:3)&gt;COUNT(Dong6),"",OFFSET(TH!E$1,SMALL(Dong6,ROWS($1:3)),))</f>
        <v>42532</v>
      </c>
      <c r="D13" s="812" t="str">
        <f ca="1">IF(ROWS($1:3)&gt;COUNT(Dong6),"",OFFSET(TH!F$1,SMALL(Dong6,ROWS($1:3)),))</f>
        <v>Đặt in hóa đơn</v>
      </c>
      <c r="E13" s="811">
        <f t="shared" ca="1" si="0"/>
        <v>3</v>
      </c>
      <c r="F13" s="813" t="str">
        <f ca="1">IF(ROWS($1:3)&gt;COUNT(Dong6),"",OFFSET(TH!L$1,SMALL(Dong6,ROWS($1:3)),))</f>
        <v>642</v>
      </c>
      <c r="G13" s="813" t="str">
        <f ca="1">IF(ROWS($1:3)&gt;COUNT(Dong6),"",OFFSET(TH!M$1,SMALL(Dong6,ROWS($1:3)),))</f>
        <v>1111</v>
      </c>
      <c r="H13" s="707">
        <f ca="1">IF(ROWS($1:3)&gt;COUNT(Dong6),"",OFFSET(TH!K$1,SMALL(Dong6,ROWS($1:3)),))</f>
        <v>3800000</v>
      </c>
      <c r="I13" s="707">
        <f ca="1">IF(ROWS($1:3)&gt;COUNT(Dong6),"",OFFSET(TH!K$1,SMALL(Dong6,ROWS($1:3)),))</f>
        <v>3800000</v>
      </c>
    </row>
    <row r="14" spans="1:14" s="802" customFormat="1" ht="21" customHeight="1">
      <c r="A14" s="810">
        <f ca="1">IF(ROWS($1:4)&gt;COUNT(Dong6),"",OFFSET(TH!C$1,SMALL(Dong6,ROWS($1:4)),))</f>
        <v>42552</v>
      </c>
      <c r="B14" s="811" t="str">
        <f ca="1">IF(ROWS($1:4)&gt;COUNT(Dong6),"",OFFSET(TH!D$1,SMALL(Dong6,ROWS($1:4)),))</f>
        <v>C02</v>
      </c>
      <c r="C14" s="810">
        <f ca="1">IF(ROWS($1:4)&gt;COUNT(Dong6),"",OFFSET(TH!E$1,SMALL(Dong6,ROWS($1:4)),))</f>
        <v>42532</v>
      </c>
      <c r="D14" s="812" t="str">
        <f ca="1">IF(ROWS($1:4)&gt;COUNT(Dong6),"",OFFSET(TH!F$1,SMALL(Dong6,ROWS($1:4)),))</f>
        <v>VAT Đặt in hóa đơn</v>
      </c>
      <c r="E14" s="811">
        <f t="shared" ca="1" si="0"/>
        <v>4</v>
      </c>
      <c r="F14" s="813" t="str">
        <f ca="1">IF(ROWS($1:4)&gt;COUNT(Dong6),"",OFFSET(TH!L$1,SMALL(Dong6,ROWS($1:4)),))</f>
        <v>1331</v>
      </c>
      <c r="G14" s="813" t="str">
        <f ca="1">IF(ROWS($1:4)&gt;COUNT(Dong6),"",OFFSET(TH!M$1,SMALL(Dong6,ROWS($1:4)),))</f>
        <v>1111</v>
      </c>
      <c r="H14" s="707">
        <f ca="1">IF(ROWS($1:4)&gt;COUNT(Dong6),"",OFFSET(TH!K$1,SMALL(Dong6,ROWS($1:4)),))</f>
        <v>380000</v>
      </c>
      <c r="I14" s="707">
        <f ca="1">IF(ROWS($1:4)&gt;COUNT(Dong6),"",OFFSET(TH!K$1,SMALL(Dong6,ROWS($1:4)),))</f>
        <v>380000</v>
      </c>
    </row>
    <row r="15" spans="1:14" s="802" customFormat="1" ht="21" customHeight="1">
      <c r="A15" s="810">
        <f ca="1">IF(ROWS($1:5)&gt;COUNT(Dong6),"",OFFSET(TH!C$1,SMALL(Dong6,ROWS($1:5)),))</f>
        <v>42563</v>
      </c>
      <c r="B15" s="811" t="str">
        <f ca="1">IF(ROWS($1:5)&gt;COUNT(Dong6),"",OFFSET(TH!D$1,SMALL(Dong6,ROWS($1:5)),))</f>
        <v>NL/N04</v>
      </c>
      <c r="C15" s="810">
        <f ca="1">IF(ROWS($1:5)&gt;COUNT(Dong6),"",OFFSET(TH!E$1,SMALL(Dong6,ROWS($1:5)),))</f>
        <v>42563</v>
      </c>
      <c r="D15" s="812" t="str">
        <f ca="1">IF(ROWS($1:5)&gt;COUNT(Dong6),"",OFFSET(TH!F$1,SMALL(Dong6,ROWS($1:5)),))</f>
        <v>Giấy cuộn xeo</v>
      </c>
      <c r="E15" s="811">
        <f t="shared" ca="1" si="0"/>
        <v>5</v>
      </c>
      <c r="F15" s="813" t="str">
        <f ca="1">IF(ROWS($1:5)&gt;COUNT(Dong6),"",OFFSET(TH!L$1,SMALL(Dong6,ROWS($1:5)),))</f>
        <v>1521</v>
      </c>
      <c r="G15" s="813" t="str">
        <f ca="1">IF(ROWS($1:5)&gt;COUNT(Dong6),"",OFFSET(TH!M$1,SMALL(Dong6,ROWS($1:5)),))</f>
        <v>331</v>
      </c>
      <c r="H15" s="707">
        <f ca="1">IF(ROWS($1:5)&gt;COUNT(Dong6),"",OFFSET(TH!K$1,SMALL(Dong6,ROWS($1:5)),))</f>
        <v>87673600</v>
      </c>
      <c r="I15" s="707">
        <f ca="1">IF(ROWS($1:5)&gt;COUNT(Dong6),"",OFFSET(TH!K$1,SMALL(Dong6,ROWS($1:5)),))</f>
        <v>87673600</v>
      </c>
    </row>
    <row r="16" spans="1:14" s="802" customFormat="1" ht="21" customHeight="1">
      <c r="A16" s="810">
        <f ca="1">IF(ROWS($1:6)&gt;COUNT(Dong6),"",OFFSET(TH!C$1,SMALL(Dong6,ROWS($1:6)),))</f>
        <v>42563</v>
      </c>
      <c r="B16" s="811" t="str">
        <f ca="1">IF(ROWS($1:6)&gt;COUNT(Dong6),"",OFFSET(TH!D$1,SMALL(Dong6,ROWS($1:6)),))</f>
        <v>NL/N04</v>
      </c>
      <c r="C16" s="810">
        <f ca="1">IF(ROWS($1:6)&gt;COUNT(Dong6),"",OFFSET(TH!E$1,SMALL(Dong6,ROWS($1:6)),))</f>
        <v>42563</v>
      </c>
      <c r="D16" s="812" t="str">
        <f ca="1">IF(ROWS($1:6)&gt;COUNT(Dong6),"",OFFSET(TH!F$1,SMALL(Dong6,ROWS($1:6)),))</f>
        <v>Giấy nâu gia keo</v>
      </c>
      <c r="E16" s="811">
        <f t="shared" ca="1" si="0"/>
        <v>6</v>
      </c>
      <c r="F16" s="813" t="str">
        <f ca="1">IF(ROWS($1:6)&gt;COUNT(Dong6),"",OFFSET(TH!L$1,SMALL(Dong6,ROWS($1:6)),))</f>
        <v>1521</v>
      </c>
      <c r="G16" s="813" t="str">
        <f ca="1">IF(ROWS($1:6)&gt;COUNT(Dong6),"",OFFSET(TH!M$1,SMALL(Dong6,ROWS($1:6)),))</f>
        <v>331</v>
      </c>
      <c r="H16" s="707">
        <f ca="1">IF(ROWS($1:6)&gt;COUNT(Dong6),"",OFFSET(TH!K$1,SMALL(Dong6,ROWS($1:6)),))</f>
        <v>53213100</v>
      </c>
      <c r="I16" s="707">
        <f ca="1">IF(ROWS($1:6)&gt;COUNT(Dong6),"",OFFSET(TH!K$1,SMALL(Dong6,ROWS($1:6)),))</f>
        <v>53213100</v>
      </c>
    </row>
    <row r="17" spans="1:9" s="802" customFormat="1" ht="21" customHeight="1">
      <c r="A17" s="810">
        <f ca="1">IF(ROWS($1:7)&gt;COUNT(Dong6),"",OFFSET(TH!C$1,SMALL(Dong6,ROWS($1:7)),))</f>
        <v>42563</v>
      </c>
      <c r="B17" s="811" t="str">
        <f ca="1">IF(ROWS($1:7)&gt;COUNT(Dong6),"",OFFSET(TH!D$1,SMALL(Dong6,ROWS($1:7)),))</f>
        <v>NL/N04</v>
      </c>
      <c r="C17" s="810">
        <f ca="1">IF(ROWS($1:7)&gt;COUNT(Dong6),"",OFFSET(TH!E$1,SMALL(Dong6,ROWS($1:7)),))</f>
        <v>42563</v>
      </c>
      <c r="D17" s="812" t="str">
        <f ca="1">IF(ROWS($1:7)&gt;COUNT(Dong6),"",OFFSET(TH!F$1,SMALL(Dong6,ROWS($1:7)),))</f>
        <v>Giấy xeo gia keo chống thấm</v>
      </c>
      <c r="E17" s="811">
        <f t="shared" ca="1" si="0"/>
        <v>7</v>
      </c>
      <c r="F17" s="813" t="str">
        <f ca="1">IF(ROWS($1:7)&gt;COUNT(Dong6),"",OFFSET(TH!L$1,SMALL(Dong6,ROWS($1:7)),))</f>
        <v>1521</v>
      </c>
      <c r="G17" s="813" t="str">
        <f ca="1">IF(ROWS($1:7)&gt;COUNT(Dong6),"",OFFSET(TH!M$1,SMALL(Dong6,ROWS($1:7)),))</f>
        <v>331</v>
      </c>
      <c r="H17" s="707">
        <f ca="1">IF(ROWS($1:7)&gt;COUNT(Dong6),"",OFFSET(TH!K$1,SMALL(Dong6,ROWS($1:7)),))</f>
        <v>34093500</v>
      </c>
      <c r="I17" s="707">
        <f ca="1">IF(ROWS($1:7)&gt;COUNT(Dong6),"",OFFSET(TH!K$1,SMALL(Dong6,ROWS($1:7)),))</f>
        <v>34093500</v>
      </c>
    </row>
    <row r="18" spans="1:9" s="802" customFormat="1" ht="21" customHeight="1">
      <c r="A18" s="810">
        <f ca="1">IF(ROWS($1:8)&gt;COUNT(Dong6),"",OFFSET(TH!C$1,SMALL(Dong6,ROWS($1:8)),))</f>
        <v>42563</v>
      </c>
      <c r="B18" s="811" t="str">
        <f ca="1">IF(ROWS($1:8)&gt;COUNT(Dong6),"",OFFSET(TH!D$1,SMALL(Dong6,ROWS($1:8)),))</f>
        <v>NL/N04</v>
      </c>
      <c r="C18" s="810">
        <f ca="1">IF(ROWS($1:8)&gt;COUNT(Dong6),"",OFFSET(TH!E$1,SMALL(Dong6,ROWS($1:8)),))</f>
        <v>42563</v>
      </c>
      <c r="D18" s="812" t="str">
        <f ca="1">IF(ROWS($1:8)&gt;COUNT(Dong6),"",OFFSET(TH!F$1,SMALL(Dong6,ROWS($1:8)),))</f>
        <v>VAT Giấy màu vàng, xeo gia keo chống thấm</v>
      </c>
      <c r="E18" s="811">
        <f t="shared" ca="1" si="0"/>
        <v>8</v>
      </c>
      <c r="F18" s="813" t="str">
        <f ca="1">IF(ROWS($1:8)&gt;COUNT(Dong6),"",OFFSET(TH!L$1,SMALL(Dong6,ROWS($1:8)),))</f>
        <v>1331</v>
      </c>
      <c r="G18" s="813" t="str">
        <f ca="1">IF(ROWS($1:8)&gt;COUNT(Dong6),"",OFFSET(TH!M$1,SMALL(Dong6,ROWS($1:8)),))</f>
        <v>331</v>
      </c>
      <c r="H18" s="707">
        <f ca="1">IF(ROWS($1:8)&gt;COUNT(Dong6),"",OFFSET(TH!K$1,SMALL(Dong6,ROWS($1:8)),))</f>
        <v>17498020</v>
      </c>
      <c r="I18" s="707">
        <f ca="1">IF(ROWS($1:8)&gt;COUNT(Dong6),"",OFFSET(TH!K$1,SMALL(Dong6,ROWS($1:8)),))</f>
        <v>17498020</v>
      </c>
    </row>
    <row r="19" spans="1:9" s="802" customFormat="1" ht="21" customHeight="1">
      <c r="A19" s="810">
        <f ca="1">IF(ROWS($1:9)&gt;COUNT(Dong6),"",OFFSET(TH!C$1,SMALL(Dong6,ROWS($1:9)),))</f>
        <v>42566</v>
      </c>
      <c r="B19" s="811" t="str">
        <f ca="1">IF(ROWS($1:9)&gt;COUNT(Dong6),"",OFFSET(TH!D$1,SMALL(Dong6,ROWS($1:9)),))</f>
        <v>C03</v>
      </c>
      <c r="C19" s="810">
        <f ca="1">IF(ROWS($1:9)&gt;COUNT(Dong6),"",OFFSET(TH!E$1,SMALL(Dong6,ROWS($1:9)),))</f>
        <v>42566</v>
      </c>
      <c r="D19" s="812" t="str">
        <f ca="1">IF(ROWS($1:9)&gt;COUNT(Dong6),"",OFFSET(TH!F$1,SMALL(Dong6,ROWS($1:9)),))</f>
        <v>Dầu Do</v>
      </c>
      <c r="E19" s="811">
        <f t="shared" ca="1" si="0"/>
        <v>9</v>
      </c>
      <c r="F19" s="813" t="str">
        <f ca="1">IF(ROWS($1:9)&gt;COUNT(Dong6),"",OFFSET(TH!L$1,SMALL(Dong6,ROWS($1:9)),))</f>
        <v>641</v>
      </c>
      <c r="G19" s="813" t="str">
        <f ca="1">IF(ROWS($1:9)&gt;COUNT(Dong6),"",OFFSET(TH!M$1,SMALL(Dong6,ROWS($1:9)),))</f>
        <v>1111</v>
      </c>
      <c r="H19" s="707">
        <f ca="1">IF(ROWS($1:9)&gt;COUNT(Dong6),"",OFFSET(TH!K$1,SMALL(Dong6,ROWS($1:9)),))</f>
        <v>1454545</v>
      </c>
      <c r="I19" s="707">
        <f ca="1">IF(ROWS($1:9)&gt;COUNT(Dong6),"",OFFSET(TH!K$1,SMALL(Dong6,ROWS($1:9)),))</f>
        <v>1454545</v>
      </c>
    </row>
    <row r="20" spans="1:9" s="802" customFormat="1" ht="21" customHeight="1">
      <c r="A20" s="810">
        <f ca="1">IF(ROWS($1:10)&gt;COUNT(Dong6),"",OFFSET(TH!C$1,SMALL(Dong6,ROWS($1:10)),))</f>
        <v>42566</v>
      </c>
      <c r="B20" s="811" t="str">
        <f ca="1">IF(ROWS($1:10)&gt;COUNT(Dong6),"",OFFSET(TH!D$1,SMALL(Dong6,ROWS($1:10)),))</f>
        <v>C03</v>
      </c>
      <c r="C20" s="810">
        <f ca="1">IF(ROWS($1:10)&gt;COUNT(Dong6),"",OFFSET(TH!E$1,SMALL(Dong6,ROWS($1:10)),))</f>
        <v>42566</v>
      </c>
      <c r="D20" s="812" t="str">
        <f ca="1">IF(ROWS($1:10)&gt;COUNT(Dong6),"",OFFSET(TH!F$1,SMALL(Dong6,ROWS($1:10)),))</f>
        <v>VAT Dầu Do</v>
      </c>
      <c r="E20" s="811">
        <f t="shared" ca="1" si="0"/>
        <v>10</v>
      </c>
      <c r="F20" s="813" t="str">
        <f ca="1">IF(ROWS($1:10)&gt;COUNT(Dong6),"",OFFSET(TH!L$1,SMALL(Dong6,ROWS($1:10)),))</f>
        <v>1331</v>
      </c>
      <c r="G20" s="813" t="str">
        <f ca="1">IF(ROWS($1:10)&gt;COUNT(Dong6),"",OFFSET(TH!M$1,SMALL(Dong6,ROWS($1:10)),))</f>
        <v>1111</v>
      </c>
      <c r="H20" s="707">
        <f ca="1">IF(ROWS($1:10)&gt;COUNT(Dong6),"",OFFSET(TH!K$1,SMALL(Dong6,ROWS($1:10)),))</f>
        <v>145455</v>
      </c>
      <c r="I20" s="707">
        <f ca="1">IF(ROWS($1:10)&gt;COUNT(Dong6),"",OFFSET(TH!K$1,SMALL(Dong6,ROWS($1:10)),))</f>
        <v>145455</v>
      </c>
    </row>
    <row r="21" spans="1:9" s="802" customFormat="1" ht="21" customHeight="1">
      <c r="A21" s="810">
        <f ca="1">IF(ROWS($1:11)&gt;COUNT(Dong6),"",OFFSET(TH!C$1,SMALL(Dong6,ROWS($1:11)),))</f>
        <v>42580</v>
      </c>
      <c r="B21" s="811" t="str">
        <f ca="1">IF(ROWS($1:11)&gt;COUNT(Dong6),"",OFFSET(TH!D$1,SMALL(Dong6,ROWS($1:11)),))</f>
        <v>NL/N05</v>
      </c>
      <c r="C21" s="810">
        <f ca="1">IF(ROWS($1:11)&gt;COUNT(Dong6),"",OFFSET(TH!E$1,SMALL(Dong6,ROWS($1:11)),))</f>
        <v>42580</v>
      </c>
      <c r="D21" s="812" t="str">
        <f ca="1">IF(ROWS($1:11)&gt;COUNT(Dong6),"",OFFSET(TH!F$1,SMALL(Dong6,ROWS($1:11)),))</f>
        <v>Giấy cuộn xeo</v>
      </c>
      <c r="E21" s="811">
        <f t="shared" ca="1" si="0"/>
        <v>11</v>
      </c>
      <c r="F21" s="813" t="str">
        <f ca="1">IF(ROWS($1:11)&gt;COUNT(Dong6),"",OFFSET(TH!L$1,SMALL(Dong6,ROWS($1:11)),))</f>
        <v>1521</v>
      </c>
      <c r="G21" s="813" t="str">
        <f ca="1">IF(ROWS($1:11)&gt;COUNT(Dong6),"",OFFSET(TH!M$1,SMALL(Dong6,ROWS($1:11)),))</f>
        <v>331</v>
      </c>
      <c r="H21" s="707">
        <f ca="1">IF(ROWS($1:11)&gt;COUNT(Dong6),"",OFFSET(TH!K$1,SMALL(Dong6,ROWS($1:11)),))</f>
        <v>58945600</v>
      </c>
      <c r="I21" s="707">
        <f ca="1">IF(ROWS($1:11)&gt;COUNT(Dong6),"",OFFSET(TH!K$1,SMALL(Dong6,ROWS($1:11)),))</f>
        <v>58945600</v>
      </c>
    </row>
    <row r="22" spans="1:9" s="802" customFormat="1" ht="21" customHeight="1">
      <c r="A22" s="810">
        <f ca="1">IF(ROWS($1:12)&gt;COUNT(Dong6),"",OFFSET(TH!C$1,SMALL(Dong6,ROWS($1:12)),))</f>
        <v>42580</v>
      </c>
      <c r="B22" s="811" t="str">
        <f ca="1">IF(ROWS($1:12)&gt;COUNT(Dong6),"",OFFSET(TH!D$1,SMALL(Dong6,ROWS($1:12)),))</f>
        <v>NL/N05</v>
      </c>
      <c r="C22" s="810">
        <f ca="1">IF(ROWS($1:12)&gt;COUNT(Dong6),"",OFFSET(TH!E$1,SMALL(Dong6,ROWS($1:12)),))</f>
        <v>42580</v>
      </c>
      <c r="D22" s="812" t="str">
        <f ca="1">IF(ROWS($1:12)&gt;COUNT(Dong6),"",OFFSET(TH!F$1,SMALL(Dong6,ROWS($1:12)),))</f>
        <v>Giấy nâu gia keo</v>
      </c>
      <c r="E22" s="811">
        <f t="shared" ca="1" si="0"/>
        <v>12</v>
      </c>
      <c r="F22" s="813" t="str">
        <f ca="1">IF(ROWS($1:12)&gt;COUNT(Dong6),"",OFFSET(TH!L$1,SMALL(Dong6,ROWS($1:12)),))</f>
        <v>1521</v>
      </c>
      <c r="G22" s="813" t="str">
        <f ca="1">IF(ROWS($1:12)&gt;COUNT(Dong6),"",OFFSET(TH!M$1,SMALL(Dong6,ROWS($1:12)),))</f>
        <v>331</v>
      </c>
      <c r="H22" s="707">
        <f ca="1">IF(ROWS($1:12)&gt;COUNT(Dong6),"",OFFSET(TH!K$1,SMALL(Dong6,ROWS($1:12)),))</f>
        <v>37584700</v>
      </c>
      <c r="I22" s="707">
        <f ca="1">IF(ROWS($1:12)&gt;COUNT(Dong6),"",OFFSET(TH!K$1,SMALL(Dong6,ROWS($1:12)),))</f>
        <v>37584700</v>
      </c>
    </row>
    <row r="23" spans="1:9" s="802" customFormat="1" ht="21" customHeight="1">
      <c r="A23" s="810">
        <f ca="1">IF(ROWS($1:13)&gt;COUNT(Dong6),"",OFFSET(TH!C$1,SMALL(Dong6,ROWS($1:13)),))</f>
        <v>42580</v>
      </c>
      <c r="B23" s="811" t="str">
        <f ca="1">IF(ROWS($1:13)&gt;COUNT(Dong6),"",OFFSET(TH!D$1,SMALL(Dong6,ROWS($1:13)),))</f>
        <v>NL/N05</v>
      </c>
      <c r="C23" s="810">
        <f ca="1">IF(ROWS($1:13)&gt;COUNT(Dong6),"",OFFSET(TH!E$1,SMALL(Dong6,ROWS($1:13)),))</f>
        <v>42580</v>
      </c>
      <c r="D23" s="812" t="str">
        <f ca="1">IF(ROWS($1:13)&gt;COUNT(Dong6),"",OFFSET(TH!F$1,SMALL(Dong6,ROWS($1:13)),))</f>
        <v>Giấy xeo gia keo chống thấm</v>
      </c>
      <c r="E23" s="811">
        <f t="shared" ca="1" si="0"/>
        <v>13</v>
      </c>
      <c r="F23" s="813" t="str">
        <f ca="1">IF(ROWS($1:13)&gt;COUNT(Dong6),"",OFFSET(TH!L$1,SMALL(Dong6,ROWS($1:13)),))</f>
        <v>1521</v>
      </c>
      <c r="G23" s="813" t="str">
        <f ca="1">IF(ROWS($1:13)&gt;COUNT(Dong6),"",OFFSET(TH!M$1,SMALL(Dong6,ROWS($1:13)),))</f>
        <v>331</v>
      </c>
      <c r="H23" s="707">
        <f ca="1">IF(ROWS($1:13)&gt;COUNT(Dong6),"",OFFSET(TH!K$1,SMALL(Dong6,ROWS($1:13)),))</f>
        <v>58488500</v>
      </c>
      <c r="I23" s="707">
        <f ca="1">IF(ROWS($1:13)&gt;COUNT(Dong6),"",OFFSET(TH!K$1,SMALL(Dong6,ROWS($1:13)),))</f>
        <v>58488500</v>
      </c>
    </row>
    <row r="24" spans="1:9" s="802" customFormat="1" ht="21" customHeight="1">
      <c r="A24" s="810">
        <f ca="1">IF(ROWS($1:14)&gt;COUNT(Dong6),"",OFFSET(TH!C$1,SMALL(Dong6,ROWS($1:14)),))</f>
        <v>42580</v>
      </c>
      <c r="B24" s="811" t="str">
        <f ca="1">IF(ROWS($1:14)&gt;COUNT(Dong6),"",OFFSET(TH!D$1,SMALL(Dong6,ROWS($1:14)),))</f>
        <v>NL/N05</v>
      </c>
      <c r="C24" s="810">
        <f ca="1">IF(ROWS($1:14)&gt;COUNT(Dong6),"",OFFSET(TH!E$1,SMALL(Dong6,ROWS($1:14)),))</f>
        <v>42580</v>
      </c>
      <c r="D24" s="812" t="str">
        <f ca="1">IF(ROWS($1:14)&gt;COUNT(Dong6),"",OFFSET(TH!F$1,SMALL(Dong6,ROWS($1:14)),))</f>
        <v>VAT Giấy màu vàng, xeo gia keo chống thấm</v>
      </c>
      <c r="E24" s="811">
        <f t="shared" ca="1" si="0"/>
        <v>14</v>
      </c>
      <c r="F24" s="813" t="str">
        <f ca="1">IF(ROWS($1:14)&gt;COUNT(Dong6),"",OFFSET(TH!L$1,SMALL(Dong6,ROWS($1:14)),))</f>
        <v>1331</v>
      </c>
      <c r="G24" s="813" t="str">
        <f ca="1">IF(ROWS($1:14)&gt;COUNT(Dong6),"",OFFSET(TH!M$1,SMALL(Dong6,ROWS($1:14)),))</f>
        <v>331</v>
      </c>
      <c r="H24" s="707">
        <f ca="1">IF(ROWS($1:14)&gt;COUNT(Dong6),"",OFFSET(TH!K$1,SMALL(Dong6,ROWS($1:14)),))</f>
        <v>15501880</v>
      </c>
      <c r="I24" s="707">
        <f ca="1">IF(ROWS($1:14)&gt;COUNT(Dong6),"",OFFSET(TH!K$1,SMALL(Dong6,ROWS($1:14)),))</f>
        <v>15501880</v>
      </c>
    </row>
    <row r="25" spans="1:9" s="802" customFormat="1" ht="21" customHeight="1">
      <c r="A25" s="810">
        <f ca="1">IF(ROWS($1:15)&gt;COUNT(Dong6),"",OFFSET(TH!C$1,SMALL(Dong6,ROWS($1:15)),))</f>
        <v>42581</v>
      </c>
      <c r="B25" s="811" t="str">
        <f ca="1">IF(ROWS($1:15)&gt;COUNT(Dong6),"",OFFSET(TH!D$1,SMALL(Dong6,ROWS($1:15)),))</f>
        <v>C04</v>
      </c>
      <c r="C25" s="810">
        <f ca="1">IF(ROWS($1:15)&gt;COUNT(Dong6),"",OFFSET(TH!E$1,SMALL(Dong6,ROWS($1:15)),))</f>
        <v>42581</v>
      </c>
      <c r="D25" s="812" t="str">
        <f ca="1">IF(ROWS($1:15)&gt;COUNT(Dong6),"",OFFSET(TH!F$1,SMALL(Dong6,ROWS($1:15)),))</f>
        <v>Mực in</v>
      </c>
      <c r="E25" s="811">
        <f t="shared" ca="1" si="0"/>
        <v>15</v>
      </c>
      <c r="F25" s="813" t="str">
        <f ca="1">IF(ROWS($1:15)&gt;COUNT(Dong6),"",OFFSET(TH!L$1,SMALL(Dong6,ROWS($1:15)),))</f>
        <v>154</v>
      </c>
      <c r="G25" s="813" t="str">
        <f ca="1">IF(ROWS($1:15)&gt;COUNT(Dong6),"",OFFSET(TH!M$1,SMALL(Dong6,ROWS($1:15)),))</f>
        <v>1111</v>
      </c>
      <c r="H25" s="707">
        <f ca="1">IF(ROWS($1:15)&gt;COUNT(Dong6),"",OFFSET(TH!K$1,SMALL(Dong6,ROWS($1:15)),))</f>
        <v>6290000</v>
      </c>
      <c r="I25" s="707">
        <f ca="1">IF(ROWS($1:15)&gt;COUNT(Dong6),"",OFFSET(TH!K$1,SMALL(Dong6,ROWS($1:15)),))</f>
        <v>6290000</v>
      </c>
    </row>
    <row r="26" spans="1:9" s="802" customFormat="1" ht="21" customHeight="1">
      <c r="A26" s="810">
        <f ca="1">IF(ROWS($1:16)&gt;COUNT(Dong6),"",OFFSET(TH!C$1,SMALL(Dong6,ROWS($1:16)),))</f>
        <v>42581</v>
      </c>
      <c r="B26" s="811" t="str">
        <f ca="1">IF(ROWS($1:16)&gt;COUNT(Dong6),"",OFFSET(TH!D$1,SMALL(Dong6,ROWS($1:16)),))</f>
        <v>C04</v>
      </c>
      <c r="C26" s="810">
        <f ca="1">IF(ROWS($1:16)&gt;COUNT(Dong6),"",OFFSET(TH!E$1,SMALL(Dong6,ROWS($1:16)),))</f>
        <v>42581</v>
      </c>
      <c r="D26" s="812" t="str">
        <f ca="1">IF(ROWS($1:16)&gt;COUNT(Dong6),"",OFFSET(TH!F$1,SMALL(Dong6,ROWS($1:16)),))</f>
        <v>VAT Mực in</v>
      </c>
      <c r="E26" s="811">
        <f t="shared" ca="1" si="0"/>
        <v>16</v>
      </c>
      <c r="F26" s="813" t="str">
        <f ca="1">IF(ROWS($1:16)&gt;COUNT(Dong6),"",OFFSET(TH!L$1,SMALL(Dong6,ROWS($1:16)),))</f>
        <v>1331</v>
      </c>
      <c r="G26" s="813" t="str">
        <f ca="1">IF(ROWS($1:16)&gt;COUNT(Dong6),"",OFFSET(TH!M$1,SMALL(Dong6,ROWS($1:16)),))</f>
        <v>1111</v>
      </c>
      <c r="H26" s="707">
        <f ca="1">IF(ROWS($1:16)&gt;COUNT(Dong6),"",OFFSET(TH!K$1,SMALL(Dong6,ROWS($1:16)),))</f>
        <v>629000</v>
      </c>
      <c r="I26" s="707">
        <f ca="1">IF(ROWS($1:16)&gt;COUNT(Dong6),"",OFFSET(TH!K$1,SMALL(Dong6,ROWS($1:16)),))</f>
        <v>629000</v>
      </c>
    </row>
    <row r="27" spans="1:9" s="802" customFormat="1" ht="21" customHeight="1">
      <c r="A27" s="810">
        <f ca="1">IF(ROWS($1:17)&gt;COUNT(Dong6),"",OFFSET(TH!C$1,SMALL(Dong6,ROWS($1:17)),))</f>
        <v>42581</v>
      </c>
      <c r="B27" s="811" t="str">
        <f ca="1">IF(ROWS($1:17)&gt;COUNT(Dong6),"",OFFSET(TH!D$1,SMALL(Dong6,ROWS($1:17)),))</f>
        <v>C05</v>
      </c>
      <c r="C27" s="810">
        <f ca="1">IF(ROWS($1:17)&gt;COUNT(Dong6),"",OFFSET(TH!E$1,SMALL(Dong6,ROWS($1:17)),))</f>
        <v>42581</v>
      </c>
      <c r="D27" s="812" t="str">
        <f ca="1">IF(ROWS($1:17)&gt;COUNT(Dong6),"",OFFSET(TH!F$1,SMALL(Dong6,ROWS($1:17)),))</f>
        <v>Dầu Do</v>
      </c>
      <c r="E27" s="811">
        <f t="shared" ca="1" si="0"/>
        <v>17</v>
      </c>
      <c r="F27" s="813" t="str">
        <f ca="1">IF(ROWS($1:17)&gt;COUNT(Dong6),"",OFFSET(TH!L$1,SMALL(Dong6,ROWS($1:17)),))</f>
        <v>641</v>
      </c>
      <c r="G27" s="813" t="str">
        <f ca="1">IF(ROWS($1:17)&gt;COUNT(Dong6),"",OFFSET(TH!M$1,SMALL(Dong6,ROWS($1:17)),))</f>
        <v>1111</v>
      </c>
      <c r="H27" s="707">
        <f ca="1">IF(ROWS($1:17)&gt;COUNT(Dong6),"",OFFSET(TH!K$1,SMALL(Dong6,ROWS($1:17)),))</f>
        <v>2011090</v>
      </c>
      <c r="I27" s="707">
        <f ca="1">IF(ROWS($1:17)&gt;COUNT(Dong6),"",OFFSET(TH!K$1,SMALL(Dong6,ROWS($1:17)),))</f>
        <v>2011090</v>
      </c>
    </row>
    <row r="28" spans="1:9" s="802" customFormat="1" ht="21" customHeight="1">
      <c r="A28" s="810">
        <f ca="1">IF(ROWS($1:18)&gt;COUNT(Dong6),"",OFFSET(TH!C$1,SMALL(Dong6,ROWS($1:18)),))</f>
        <v>42581</v>
      </c>
      <c r="B28" s="811" t="str">
        <f ca="1">IF(ROWS($1:18)&gt;COUNT(Dong6),"",OFFSET(TH!D$1,SMALL(Dong6,ROWS($1:18)),))</f>
        <v>C05</v>
      </c>
      <c r="C28" s="810">
        <f ca="1">IF(ROWS($1:18)&gt;COUNT(Dong6),"",OFFSET(TH!E$1,SMALL(Dong6,ROWS($1:18)),))</f>
        <v>42581</v>
      </c>
      <c r="D28" s="812" t="str">
        <f ca="1">IF(ROWS($1:18)&gt;COUNT(Dong6),"",OFFSET(TH!F$1,SMALL(Dong6,ROWS($1:18)),))</f>
        <v>VAT Dầu Do</v>
      </c>
      <c r="E28" s="811">
        <f t="shared" ca="1" si="0"/>
        <v>18</v>
      </c>
      <c r="F28" s="813" t="str">
        <f ca="1">IF(ROWS($1:18)&gt;COUNT(Dong6),"",OFFSET(TH!L$1,SMALL(Dong6,ROWS($1:18)),))</f>
        <v>1331</v>
      </c>
      <c r="G28" s="813" t="str">
        <f ca="1">IF(ROWS($1:18)&gt;COUNT(Dong6),"",OFFSET(TH!M$1,SMALL(Dong6,ROWS($1:18)),))</f>
        <v>1111</v>
      </c>
      <c r="H28" s="707">
        <f ca="1">IF(ROWS($1:18)&gt;COUNT(Dong6),"",OFFSET(TH!K$1,SMALL(Dong6,ROWS($1:18)),))</f>
        <v>201110</v>
      </c>
      <c r="I28" s="707">
        <f ca="1">IF(ROWS($1:18)&gt;COUNT(Dong6),"",OFFSET(TH!K$1,SMALL(Dong6,ROWS($1:18)),))</f>
        <v>201110</v>
      </c>
    </row>
    <row r="29" spans="1:9" s="802" customFormat="1" ht="21" customHeight="1">
      <c r="A29" s="810">
        <f ca="1">IF(ROWS($1:19)&gt;COUNT(Dong6),"",OFFSET(TH!C$1,SMALL(Dong6,ROWS($1:19)),))</f>
        <v>42581</v>
      </c>
      <c r="B29" s="811" t="str">
        <f ca="1">IF(ROWS($1:19)&gt;COUNT(Dong6),"",OFFSET(TH!D$1,SMALL(Dong6,ROWS($1:19)),))</f>
        <v>C06</v>
      </c>
      <c r="C29" s="810">
        <f ca="1">IF(ROWS($1:19)&gt;COUNT(Dong6),"",OFFSET(TH!E$1,SMALL(Dong6,ROWS($1:19)),))</f>
        <v>42581</v>
      </c>
      <c r="D29" s="812" t="str">
        <f ca="1">IF(ROWS($1:19)&gt;COUNT(Dong6),"",OFFSET(TH!F$1,SMALL(Dong6,ROWS($1:19)),))</f>
        <v>Phí sử dụng đường bộ</v>
      </c>
      <c r="E29" s="811">
        <f t="shared" ca="1" si="0"/>
        <v>19</v>
      </c>
      <c r="F29" s="813" t="str">
        <f ca="1">IF(ROWS($1:19)&gt;COUNT(Dong6),"",OFFSET(TH!L$1,SMALL(Dong6,ROWS($1:19)),))</f>
        <v>641</v>
      </c>
      <c r="G29" s="813" t="str">
        <f ca="1">IF(ROWS($1:19)&gt;COUNT(Dong6),"",OFFSET(TH!M$1,SMALL(Dong6,ROWS($1:19)),))</f>
        <v>1111</v>
      </c>
      <c r="H29" s="707">
        <f ca="1">IF(ROWS($1:19)&gt;COUNT(Dong6),"",OFFSET(TH!K$1,SMALL(Dong6,ROWS($1:19)),))</f>
        <v>331818</v>
      </c>
      <c r="I29" s="707">
        <f ca="1">IF(ROWS($1:19)&gt;COUNT(Dong6),"",OFFSET(TH!K$1,SMALL(Dong6,ROWS($1:19)),))</f>
        <v>331818</v>
      </c>
    </row>
    <row r="30" spans="1:9" s="802" customFormat="1" ht="21" customHeight="1">
      <c r="A30" s="810">
        <f ca="1">IF(ROWS($1:20)&gt;COUNT(Dong6),"",OFFSET(TH!C$1,SMALL(Dong6,ROWS($1:20)),))</f>
        <v>42581</v>
      </c>
      <c r="B30" s="811" t="str">
        <f ca="1">IF(ROWS($1:20)&gt;COUNT(Dong6),"",OFFSET(TH!D$1,SMALL(Dong6,ROWS($1:20)),))</f>
        <v>C06</v>
      </c>
      <c r="C30" s="810">
        <f ca="1">IF(ROWS($1:20)&gt;COUNT(Dong6),"",OFFSET(TH!E$1,SMALL(Dong6,ROWS($1:20)),))</f>
        <v>42581</v>
      </c>
      <c r="D30" s="812" t="str">
        <f ca="1">IF(ROWS($1:20)&gt;COUNT(Dong6),"",OFFSET(TH!F$1,SMALL(Dong6,ROWS($1:20)),))</f>
        <v>VAT Phí sử dụng đường bộ</v>
      </c>
      <c r="E30" s="811">
        <f t="shared" ca="1" si="0"/>
        <v>20</v>
      </c>
      <c r="F30" s="813" t="str">
        <f ca="1">IF(ROWS($1:20)&gt;COUNT(Dong6),"",OFFSET(TH!L$1,SMALL(Dong6,ROWS($1:20)),))</f>
        <v>1331</v>
      </c>
      <c r="G30" s="813" t="str">
        <f ca="1">IF(ROWS($1:20)&gt;COUNT(Dong6),"",OFFSET(TH!M$1,SMALL(Dong6,ROWS($1:20)),))</f>
        <v>1111</v>
      </c>
      <c r="H30" s="707">
        <f ca="1">IF(ROWS($1:20)&gt;COUNT(Dong6),"",OFFSET(TH!K$1,SMALL(Dong6,ROWS($1:20)),))</f>
        <v>33182</v>
      </c>
      <c r="I30" s="707">
        <f ca="1">IF(ROWS($1:20)&gt;COUNT(Dong6),"",OFFSET(TH!K$1,SMALL(Dong6,ROWS($1:20)),))</f>
        <v>33182</v>
      </c>
    </row>
    <row r="31" spans="1:9" s="802" customFormat="1" ht="21" customHeight="1">
      <c r="A31" s="810">
        <f ca="1">IF(ROWS($1:21)&gt;COUNT(Dong6),"",OFFSET(TH!C$1,SMALL(Dong6,ROWS($1:21)),))</f>
        <v>42590</v>
      </c>
      <c r="B31" s="811" t="str">
        <f ca="1">IF(ROWS($1:21)&gt;COUNT(Dong6),"",OFFSET(TH!D$1,SMALL(Dong6,ROWS($1:21)),))</f>
        <v>C07</v>
      </c>
      <c r="C31" s="810">
        <f ca="1">IF(ROWS($1:21)&gt;COUNT(Dong6),"",OFFSET(TH!E$1,SMALL(Dong6,ROWS($1:21)),))</f>
        <v>42590</v>
      </c>
      <c r="D31" s="812" t="str">
        <f ca="1">IF(ROWS($1:21)&gt;COUNT(Dong6),"",OFFSET(TH!F$1,SMALL(Dong6,ROWS($1:21)),))</f>
        <v>Khuông hộp</v>
      </c>
      <c r="E31" s="811">
        <f t="shared" ca="1" si="0"/>
        <v>21</v>
      </c>
      <c r="F31" s="813" t="str">
        <f ca="1">IF(ROWS($1:21)&gt;COUNT(Dong6),"",OFFSET(TH!L$1,SMALL(Dong6,ROWS($1:21)),))</f>
        <v>642</v>
      </c>
      <c r="G31" s="813" t="str">
        <f ca="1">IF(ROWS($1:21)&gt;COUNT(Dong6),"",OFFSET(TH!M$1,SMALL(Dong6,ROWS($1:21)),))</f>
        <v>1111</v>
      </c>
      <c r="H31" s="707">
        <f ca="1">IF(ROWS($1:21)&gt;COUNT(Dong6),"",OFFSET(TH!K$1,SMALL(Dong6,ROWS($1:21)),))</f>
        <v>1400000</v>
      </c>
      <c r="I31" s="707">
        <f ca="1">IF(ROWS($1:21)&gt;COUNT(Dong6),"",OFFSET(TH!K$1,SMALL(Dong6,ROWS($1:21)),))</f>
        <v>1400000</v>
      </c>
    </row>
    <row r="32" spans="1:9" s="802" customFormat="1" ht="21" customHeight="1">
      <c r="A32" s="810">
        <f ca="1">IF(ROWS($1:22)&gt;COUNT(Dong6),"",OFFSET(TH!C$1,SMALL(Dong6,ROWS($1:22)),))</f>
        <v>42590</v>
      </c>
      <c r="B32" s="811" t="str">
        <f ca="1">IF(ROWS($1:22)&gt;COUNT(Dong6),"",OFFSET(TH!D$1,SMALL(Dong6,ROWS($1:22)),))</f>
        <v>C07</v>
      </c>
      <c r="C32" s="810">
        <f ca="1">IF(ROWS($1:22)&gt;COUNT(Dong6),"",OFFSET(TH!E$1,SMALL(Dong6,ROWS($1:22)),))</f>
        <v>42590</v>
      </c>
      <c r="D32" s="812" t="str">
        <f ca="1">IF(ROWS($1:22)&gt;COUNT(Dong6),"",OFFSET(TH!F$1,SMALL(Dong6,ROWS($1:22)),))</f>
        <v>VAT Khuông hộp</v>
      </c>
      <c r="E32" s="811">
        <f t="shared" ca="1" si="0"/>
        <v>22</v>
      </c>
      <c r="F32" s="813" t="str">
        <f ca="1">IF(ROWS($1:22)&gt;COUNT(Dong6),"",OFFSET(TH!L$1,SMALL(Dong6,ROWS($1:22)),))</f>
        <v>1331</v>
      </c>
      <c r="G32" s="813" t="str">
        <f ca="1">IF(ROWS($1:22)&gt;COUNT(Dong6),"",OFFSET(TH!M$1,SMALL(Dong6,ROWS($1:22)),))</f>
        <v>1111</v>
      </c>
      <c r="H32" s="707">
        <f ca="1">IF(ROWS($1:22)&gt;COUNT(Dong6),"",OFFSET(TH!K$1,SMALL(Dong6,ROWS($1:22)),))</f>
        <v>140000</v>
      </c>
      <c r="I32" s="707">
        <f ca="1">IF(ROWS($1:22)&gt;COUNT(Dong6),"",OFFSET(TH!K$1,SMALL(Dong6,ROWS($1:22)),))</f>
        <v>140000</v>
      </c>
    </row>
    <row r="33" spans="1:9" s="802" customFormat="1" ht="21" customHeight="1">
      <c r="A33" s="810">
        <f ca="1">IF(ROWS($1:23)&gt;COUNT(Dong6),"",OFFSET(TH!C$1,SMALL(Dong6,ROWS($1:23)),))</f>
        <v>42595</v>
      </c>
      <c r="B33" s="811" t="str">
        <f ca="1">IF(ROWS($1:23)&gt;COUNT(Dong6),"",OFFSET(TH!D$1,SMALL(Dong6,ROWS($1:23)),))</f>
        <v>VL/N01</v>
      </c>
      <c r="C33" s="810">
        <f ca="1">IF(ROWS($1:23)&gt;COUNT(Dong6),"",OFFSET(TH!E$1,SMALL(Dong6,ROWS($1:23)),))</f>
        <v>42595</v>
      </c>
      <c r="D33" s="812" t="str">
        <f ca="1">IF(ROWS($1:23)&gt;COUNT(Dong6),"",OFFSET(TH!F$1,SMALL(Dong6,ROWS($1:23)),))</f>
        <v>Củi cau su</v>
      </c>
      <c r="E33" s="811">
        <f t="shared" ca="1" si="0"/>
        <v>23</v>
      </c>
      <c r="F33" s="813" t="str">
        <f ca="1">IF(ROWS($1:23)&gt;COUNT(Dong6),"",OFFSET(TH!L$1,SMALL(Dong6,ROWS($1:23)),))</f>
        <v>1522</v>
      </c>
      <c r="G33" s="813" t="str">
        <f ca="1">IF(ROWS($1:23)&gt;COUNT(Dong6),"",OFFSET(TH!M$1,SMALL(Dong6,ROWS($1:23)),))</f>
        <v>331</v>
      </c>
      <c r="H33" s="707">
        <f ca="1">IF(ROWS($1:23)&gt;COUNT(Dong6),"",OFFSET(TH!K$1,SMALL(Dong6,ROWS($1:23)),))</f>
        <v>15451800</v>
      </c>
      <c r="I33" s="707">
        <f ca="1">IF(ROWS($1:23)&gt;COUNT(Dong6),"",OFFSET(TH!K$1,SMALL(Dong6,ROWS($1:23)),))</f>
        <v>15451800</v>
      </c>
    </row>
    <row r="34" spans="1:9" s="802" customFormat="1" ht="21" customHeight="1">
      <c r="A34" s="810">
        <f ca="1">IF(ROWS($1:24)&gt;COUNT(Dong6),"",OFFSET(TH!C$1,SMALL(Dong6,ROWS($1:24)),))</f>
        <v>42595</v>
      </c>
      <c r="B34" s="811" t="str">
        <f ca="1">IF(ROWS($1:24)&gt;COUNT(Dong6),"",OFFSET(TH!D$1,SMALL(Dong6,ROWS($1:24)),))</f>
        <v>VL/N01</v>
      </c>
      <c r="C34" s="810">
        <f ca="1">IF(ROWS($1:24)&gt;COUNT(Dong6),"",OFFSET(TH!E$1,SMALL(Dong6,ROWS($1:24)),))</f>
        <v>42595</v>
      </c>
      <c r="D34" s="812" t="str">
        <f ca="1">IF(ROWS($1:24)&gt;COUNT(Dong6),"",OFFSET(TH!F$1,SMALL(Dong6,ROWS($1:24)),))</f>
        <v>VAT Củi cau su</v>
      </c>
      <c r="E34" s="811">
        <f t="shared" ca="1" si="0"/>
        <v>24</v>
      </c>
      <c r="F34" s="813" t="str">
        <f ca="1">IF(ROWS($1:24)&gt;COUNT(Dong6),"",OFFSET(TH!L$1,SMALL(Dong6,ROWS($1:24)),))</f>
        <v>1331</v>
      </c>
      <c r="G34" s="813" t="str">
        <f ca="1">IF(ROWS($1:24)&gt;COUNT(Dong6),"",OFFSET(TH!M$1,SMALL(Dong6,ROWS($1:24)),))</f>
        <v>331</v>
      </c>
      <c r="H34" s="707">
        <f ca="1">IF(ROWS($1:24)&gt;COUNT(Dong6),"",OFFSET(TH!K$1,SMALL(Dong6,ROWS($1:24)),))</f>
        <v>1545180</v>
      </c>
      <c r="I34" s="707">
        <f ca="1">IF(ROWS($1:24)&gt;COUNT(Dong6),"",OFFSET(TH!K$1,SMALL(Dong6,ROWS($1:24)),))</f>
        <v>1545180</v>
      </c>
    </row>
    <row r="35" spans="1:9" s="802" customFormat="1" ht="21" customHeight="1">
      <c r="A35" s="810">
        <f ca="1">IF(ROWS($1:25)&gt;COUNT(Dong6),"",OFFSET(TH!C$1,SMALL(Dong6,ROWS($1:25)),))</f>
        <v>42595</v>
      </c>
      <c r="B35" s="811" t="str">
        <f ca="1">IF(ROWS($1:25)&gt;COUNT(Dong6),"",OFFSET(TH!D$1,SMALL(Dong6,ROWS($1:25)),))</f>
        <v>C07</v>
      </c>
      <c r="C35" s="810">
        <f ca="1">IF(ROWS($1:25)&gt;COUNT(Dong6),"",OFFSET(TH!E$1,SMALL(Dong6,ROWS($1:25)),))</f>
        <v>42595</v>
      </c>
      <c r="D35" s="812" t="str">
        <f ca="1">IF(ROWS($1:25)&gt;COUNT(Dong6),"",OFFSET(TH!F$1,SMALL(Dong6,ROWS($1:25)),))</f>
        <v>Thanh toán tiền hàng</v>
      </c>
      <c r="E35" s="811">
        <f t="shared" ca="1" si="0"/>
        <v>25</v>
      </c>
      <c r="F35" s="813" t="str">
        <f ca="1">IF(ROWS($1:25)&gt;COUNT(Dong6),"",OFFSET(TH!L$1,SMALL(Dong6,ROWS($1:25)),))</f>
        <v>331</v>
      </c>
      <c r="G35" s="813" t="str">
        <f ca="1">IF(ROWS($1:25)&gt;COUNT(Dong6),"",OFFSET(TH!M$1,SMALL(Dong6,ROWS($1:25)),))</f>
        <v>1111</v>
      </c>
      <c r="H35" s="707">
        <f ca="1">IF(ROWS($1:25)&gt;COUNT(Dong6),"",OFFSET(TH!K$1,SMALL(Dong6,ROWS($1:25)),))</f>
        <v>16996980</v>
      </c>
      <c r="I35" s="707">
        <f ca="1">IF(ROWS($1:25)&gt;COUNT(Dong6),"",OFFSET(TH!K$1,SMALL(Dong6,ROWS($1:25)),))</f>
        <v>16996980</v>
      </c>
    </row>
    <row r="36" spans="1:9" s="802" customFormat="1" ht="21" customHeight="1">
      <c r="A36" s="810">
        <f ca="1">IF(ROWS($1:26)&gt;COUNT(Dong6),"",OFFSET(TH!C$1,SMALL(Dong6,ROWS($1:26)),))</f>
        <v>42601</v>
      </c>
      <c r="B36" s="811" t="str">
        <f ca="1">IF(ROWS($1:26)&gt;COUNT(Dong6),"",OFFSET(TH!D$1,SMALL(Dong6,ROWS($1:26)),))</f>
        <v>VL/N02</v>
      </c>
      <c r="C36" s="810">
        <f ca="1">IF(ROWS($1:26)&gt;COUNT(Dong6),"",OFFSET(TH!E$1,SMALL(Dong6,ROWS($1:26)),))</f>
        <v>42601</v>
      </c>
      <c r="D36" s="812" t="str">
        <f ca="1">IF(ROWS($1:26)&gt;COUNT(Dong6),"",OFFSET(TH!F$1,SMALL(Dong6,ROWS($1:26)),))</f>
        <v>Củi cau su</v>
      </c>
      <c r="E36" s="811">
        <f t="shared" ca="1" si="0"/>
        <v>26</v>
      </c>
      <c r="F36" s="813" t="str">
        <f ca="1">IF(ROWS($1:26)&gt;COUNT(Dong6),"",OFFSET(TH!L$1,SMALL(Dong6,ROWS($1:26)),))</f>
        <v>1522</v>
      </c>
      <c r="G36" s="813" t="str">
        <f ca="1">IF(ROWS($1:26)&gt;COUNT(Dong6),"",OFFSET(TH!M$1,SMALL(Dong6,ROWS($1:26)),))</f>
        <v>331</v>
      </c>
      <c r="H36" s="707">
        <f ca="1">IF(ROWS($1:26)&gt;COUNT(Dong6),"",OFFSET(TH!K$1,SMALL(Dong6,ROWS($1:26)),))</f>
        <v>11177400</v>
      </c>
      <c r="I36" s="707">
        <f ca="1">IF(ROWS($1:26)&gt;COUNT(Dong6),"",OFFSET(TH!K$1,SMALL(Dong6,ROWS($1:26)),))</f>
        <v>11177400</v>
      </c>
    </row>
    <row r="37" spans="1:9" s="802" customFormat="1" ht="21" customHeight="1">
      <c r="A37" s="810">
        <f ca="1">IF(ROWS($1:27)&gt;COUNT(Dong6),"",OFFSET(TH!C$1,SMALL(Dong6,ROWS($1:27)),))</f>
        <v>42601</v>
      </c>
      <c r="B37" s="811" t="str">
        <f ca="1">IF(ROWS($1:27)&gt;COUNT(Dong6),"",OFFSET(TH!D$1,SMALL(Dong6,ROWS($1:27)),))</f>
        <v>VL/N02</v>
      </c>
      <c r="C37" s="810">
        <f ca="1">IF(ROWS($1:27)&gt;COUNT(Dong6),"",OFFSET(TH!E$1,SMALL(Dong6,ROWS($1:27)),))</f>
        <v>42601</v>
      </c>
      <c r="D37" s="812" t="str">
        <f ca="1">IF(ROWS($1:27)&gt;COUNT(Dong6),"",OFFSET(TH!F$1,SMALL(Dong6,ROWS($1:27)),))</f>
        <v>VAT Củi cau su</v>
      </c>
      <c r="E37" s="811">
        <f t="shared" ca="1" si="0"/>
        <v>27</v>
      </c>
      <c r="F37" s="813" t="str">
        <f ca="1">IF(ROWS($1:27)&gt;COUNT(Dong6),"",OFFSET(TH!L$1,SMALL(Dong6,ROWS($1:27)),))</f>
        <v>1331</v>
      </c>
      <c r="G37" s="813" t="str">
        <f ca="1">IF(ROWS($1:27)&gt;COUNT(Dong6),"",OFFSET(TH!M$1,SMALL(Dong6,ROWS($1:27)),))</f>
        <v>331</v>
      </c>
      <c r="H37" s="707">
        <f ca="1">IF(ROWS($1:27)&gt;COUNT(Dong6),"",OFFSET(TH!K$1,SMALL(Dong6,ROWS($1:27)),))</f>
        <v>1117740</v>
      </c>
      <c r="I37" s="707">
        <f ca="1">IF(ROWS($1:27)&gt;COUNT(Dong6),"",OFFSET(TH!K$1,SMALL(Dong6,ROWS($1:27)),))</f>
        <v>1117740</v>
      </c>
    </row>
    <row r="38" spans="1:9" s="802" customFormat="1" ht="21" customHeight="1">
      <c r="A38" s="810">
        <f ca="1">IF(ROWS($1:28)&gt;COUNT(Dong6),"",OFFSET(TH!C$1,SMALL(Dong6,ROWS($1:28)),))</f>
        <v>42604</v>
      </c>
      <c r="B38" s="811" t="str">
        <f ca="1">IF(ROWS($1:28)&gt;COUNT(Dong6),"",OFFSET(TH!D$1,SMALL(Dong6,ROWS($1:28)),))</f>
        <v>C09</v>
      </c>
      <c r="C38" s="810">
        <f ca="1">IF(ROWS($1:28)&gt;COUNT(Dong6),"",OFFSET(TH!E$1,SMALL(Dong6,ROWS($1:28)),))</f>
        <v>42604</v>
      </c>
      <c r="D38" s="812" t="str">
        <f ca="1">IF(ROWS($1:28)&gt;COUNT(Dong6),"",OFFSET(TH!F$1,SMALL(Dong6,ROWS($1:28)),))</f>
        <v>Khuông hộp</v>
      </c>
      <c r="E38" s="811">
        <f t="shared" ca="1" si="0"/>
        <v>28</v>
      </c>
      <c r="F38" s="813" t="str">
        <f ca="1">IF(ROWS($1:28)&gt;COUNT(Dong6),"",OFFSET(TH!L$1,SMALL(Dong6,ROWS($1:28)),))</f>
        <v>642</v>
      </c>
      <c r="G38" s="813" t="str">
        <f ca="1">IF(ROWS($1:28)&gt;COUNT(Dong6),"",OFFSET(TH!M$1,SMALL(Dong6,ROWS($1:28)),))</f>
        <v>1111</v>
      </c>
      <c r="H38" s="707">
        <f ca="1">IF(ROWS($1:28)&gt;COUNT(Dong6),"",OFFSET(TH!K$1,SMALL(Dong6,ROWS($1:28)),))</f>
        <v>1840000</v>
      </c>
      <c r="I38" s="707">
        <f ca="1">IF(ROWS($1:28)&gt;COUNT(Dong6),"",OFFSET(TH!K$1,SMALL(Dong6,ROWS($1:28)),))</f>
        <v>1840000</v>
      </c>
    </row>
    <row r="39" spans="1:9" s="802" customFormat="1" ht="21" customHeight="1">
      <c r="A39" s="810">
        <f ca="1">IF(ROWS($1:29)&gt;COUNT(Dong6),"",OFFSET(TH!C$1,SMALL(Dong6,ROWS($1:29)),))</f>
        <v>42604</v>
      </c>
      <c r="B39" s="811" t="str">
        <f ca="1">IF(ROWS($1:29)&gt;COUNT(Dong6),"",OFFSET(TH!D$1,SMALL(Dong6,ROWS($1:29)),))</f>
        <v>C09</v>
      </c>
      <c r="C39" s="810">
        <f ca="1">IF(ROWS($1:29)&gt;COUNT(Dong6),"",OFFSET(TH!E$1,SMALL(Dong6,ROWS($1:29)),))</f>
        <v>42604</v>
      </c>
      <c r="D39" s="812" t="str">
        <f ca="1">IF(ROWS($1:29)&gt;COUNT(Dong6),"",OFFSET(TH!F$1,SMALL(Dong6,ROWS($1:29)),))</f>
        <v>VAT Khuông hộp</v>
      </c>
      <c r="E39" s="811">
        <f t="shared" ca="1" si="0"/>
        <v>29</v>
      </c>
      <c r="F39" s="813" t="str">
        <f ca="1">IF(ROWS($1:29)&gt;COUNT(Dong6),"",OFFSET(TH!L$1,SMALL(Dong6,ROWS($1:29)),))</f>
        <v>1331</v>
      </c>
      <c r="G39" s="813" t="str">
        <f ca="1">IF(ROWS($1:29)&gt;COUNT(Dong6),"",OFFSET(TH!M$1,SMALL(Dong6,ROWS($1:29)),))</f>
        <v>1111</v>
      </c>
      <c r="H39" s="707">
        <f ca="1">IF(ROWS($1:29)&gt;COUNT(Dong6),"",OFFSET(TH!K$1,SMALL(Dong6,ROWS($1:29)),))</f>
        <v>184000</v>
      </c>
      <c r="I39" s="707">
        <f ca="1">IF(ROWS($1:29)&gt;COUNT(Dong6),"",OFFSET(TH!K$1,SMALL(Dong6,ROWS($1:29)),))</f>
        <v>184000</v>
      </c>
    </row>
    <row r="40" spans="1:9" s="802" customFormat="1" ht="21" customHeight="1">
      <c r="A40" s="810">
        <f ca="1">IF(ROWS($1:30)&gt;COUNT(Dong6),"",OFFSET(TH!C$1,SMALL(Dong6,ROWS($1:30)),))</f>
        <v>42613</v>
      </c>
      <c r="B40" s="811" t="str">
        <f ca="1">IF(ROWS($1:30)&gt;COUNT(Dong6),"",OFFSET(TH!D$1,SMALL(Dong6,ROWS($1:30)),))</f>
        <v>VL/N03</v>
      </c>
      <c r="C40" s="810">
        <f ca="1">IF(ROWS($1:30)&gt;COUNT(Dong6),"",OFFSET(TH!E$1,SMALL(Dong6,ROWS($1:30)),))</f>
        <v>42613</v>
      </c>
      <c r="D40" s="812" t="str">
        <f ca="1">IF(ROWS($1:30)&gt;COUNT(Dong6),"",OFFSET(TH!F$1,SMALL(Dong6,ROWS($1:30)),))</f>
        <v>Củi cau su</v>
      </c>
      <c r="E40" s="811">
        <f t="shared" ca="1" si="0"/>
        <v>30</v>
      </c>
      <c r="F40" s="813" t="str">
        <f ca="1">IF(ROWS($1:30)&gt;COUNT(Dong6),"",OFFSET(TH!L$1,SMALL(Dong6,ROWS($1:30)),))</f>
        <v>1522</v>
      </c>
      <c r="G40" s="813" t="str">
        <f ca="1">IF(ROWS($1:30)&gt;COUNT(Dong6),"",OFFSET(TH!M$1,SMALL(Dong6,ROWS($1:30)),))</f>
        <v>331</v>
      </c>
      <c r="H40" s="707">
        <f ca="1">IF(ROWS($1:30)&gt;COUNT(Dong6),"",OFFSET(TH!K$1,SMALL(Dong6,ROWS($1:30)),))</f>
        <v>10007400</v>
      </c>
      <c r="I40" s="707">
        <f ca="1">IF(ROWS($1:30)&gt;COUNT(Dong6),"",OFFSET(TH!K$1,SMALL(Dong6,ROWS($1:30)),))</f>
        <v>10007400</v>
      </c>
    </row>
    <row r="41" spans="1:9" s="802" customFormat="1" ht="21" customHeight="1">
      <c r="A41" s="810">
        <f ca="1">IF(ROWS($1:31)&gt;COUNT(Dong6),"",OFFSET(TH!C$1,SMALL(Dong6,ROWS($1:31)),))</f>
        <v>42613</v>
      </c>
      <c r="B41" s="811" t="str">
        <f ca="1">IF(ROWS($1:31)&gt;COUNT(Dong6),"",OFFSET(TH!D$1,SMALL(Dong6,ROWS($1:31)),))</f>
        <v>VL/N03</v>
      </c>
      <c r="C41" s="810">
        <f ca="1">IF(ROWS($1:31)&gt;COUNT(Dong6),"",OFFSET(TH!E$1,SMALL(Dong6,ROWS($1:31)),))</f>
        <v>42613</v>
      </c>
      <c r="D41" s="812" t="str">
        <f ca="1">IF(ROWS($1:31)&gt;COUNT(Dong6),"",OFFSET(TH!F$1,SMALL(Dong6,ROWS($1:31)),))</f>
        <v>VAT Củi cau su</v>
      </c>
      <c r="E41" s="811">
        <f t="shared" ref="E41:E50" ca="1" si="1">IF(D41&lt;&gt;"",ROW()-10,"")</f>
        <v>31</v>
      </c>
      <c r="F41" s="813" t="str">
        <f ca="1">IF(ROWS($1:31)&gt;COUNT(Dong6),"",OFFSET(TH!L$1,SMALL(Dong6,ROWS($1:31)),))</f>
        <v>1331</v>
      </c>
      <c r="G41" s="813" t="str">
        <f ca="1">IF(ROWS($1:31)&gt;COUNT(Dong6),"",OFFSET(TH!M$1,SMALL(Dong6,ROWS($1:31)),))</f>
        <v>331</v>
      </c>
      <c r="H41" s="707">
        <f ca="1">IF(ROWS($1:31)&gt;COUNT(Dong6),"",OFFSET(TH!K$1,SMALL(Dong6,ROWS($1:31)),))</f>
        <v>1000740</v>
      </c>
      <c r="I41" s="707">
        <f ca="1">IF(ROWS($1:31)&gt;COUNT(Dong6),"",OFFSET(TH!K$1,SMALL(Dong6,ROWS($1:31)),))</f>
        <v>1000740</v>
      </c>
    </row>
    <row r="42" spans="1:9" s="802" customFormat="1" ht="21" customHeight="1">
      <c r="A42" s="810">
        <f ca="1">IF(ROWS($1:32)&gt;COUNT(Dong6),"",OFFSET(TH!C$1,SMALL(Dong6,ROWS($1:32)),))</f>
        <v>42613</v>
      </c>
      <c r="B42" s="811" t="str">
        <f ca="1">IF(ROWS($1:32)&gt;COUNT(Dong6),"",OFFSET(TH!D$1,SMALL(Dong6,ROWS($1:32)),))</f>
        <v>C10</v>
      </c>
      <c r="C42" s="810">
        <f ca="1">IF(ROWS($1:32)&gt;COUNT(Dong6),"",OFFSET(TH!E$1,SMALL(Dong6,ROWS($1:32)),))</f>
        <v>42613</v>
      </c>
      <c r="D42" s="812" t="str">
        <f ca="1">IF(ROWS($1:32)&gt;COUNT(Dong6),"",OFFSET(TH!F$1,SMALL(Dong6,ROWS($1:32)),))</f>
        <v>Thanh toán tiền hàng</v>
      </c>
      <c r="E42" s="811">
        <f t="shared" ca="1" si="1"/>
        <v>32</v>
      </c>
      <c r="F42" s="813" t="str">
        <f ca="1">IF(ROWS($1:32)&gt;COUNT(Dong6),"",OFFSET(TH!L$1,SMALL(Dong6,ROWS($1:32)),))</f>
        <v>331</v>
      </c>
      <c r="G42" s="813" t="str">
        <f ca="1">IF(ROWS($1:32)&gt;COUNT(Dong6),"",OFFSET(TH!M$1,SMALL(Dong6,ROWS($1:32)),))</f>
        <v>1111</v>
      </c>
      <c r="H42" s="707">
        <f ca="1">IF(ROWS($1:32)&gt;COUNT(Dong6),"",OFFSET(TH!K$1,SMALL(Dong6,ROWS($1:32)),))</f>
        <v>11008140</v>
      </c>
      <c r="I42" s="707">
        <f ca="1">IF(ROWS($1:32)&gt;COUNT(Dong6),"",OFFSET(TH!K$1,SMALL(Dong6,ROWS($1:32)),))</f>
        <v>11008140</v>
      </c>
    </row>
    <row r="43" spans="1:9" s="802" customFormat="1" ht="21" customHeight="1">
      <c r="A43" s="810">
        <f ca="1">IF(ROWS($1:33)&gt;COUNT(Dong6),"",OFFSET(TH!C$1,SMALL(Dong6,ROWS($1:33)),))</f>
        <v>42613</v>
      </c>
      <c r="B43" s="811" t="str">
        <f ca="1">IF(ROWS($1:33)&gt;COUNT(Dong6),"",OFFSET(TH!D$1,SMALL(Dong6,ROWS($1:33)),))</f>
        <v>C06</v>
      </c>
      <c r="C43" s="810">
        <f ca="1">IF(ROWS($1:33)&gt;COUNT(Dong6),"",OFFSET(TH!E$1,SMALL(Dong6,ROWS($1:33)),))</f>
        <v>42613</v>
      </c>
      <c r="D43" s="812" t="str">
        <f ca="1">IF(ROWS($1:33)&gt;COUNT(Dong6),"",OFFSET(TH!F$1,SMALL(Dong6,ROWS($1:33)),))</f>
        <v>Phí sử dụng đường bộ</v>
      </c>
      <c r="E43" s="811">
        <f t="shared" ca="1" si="1"/>
        <v>33</v>
      </c>
      <c r="F43" s="813" t="str">
        <f ca="1">IF(ROWS($1:33)&gt;COUNT(Dong6),"",OFFSET(TH!L$1,SMALL(Dong6,ROWS($1:33)),))</f>
        <v>641</v>
      </c>
      <c r="G43" s="813" t="str">
        <f ca="1">IF(ROWS($1:33)&gt;COUNT(Dong6),"",OFFSET(TH!M$1,SMALL(Dong6,ROWS($1:33)),))</f>
        <v>1111</v>
      </c>
      <c r="H43" s="707">
        <f ca="1">IF(ROWS($1:33)&gt;COUNT(Dong6),"",OFFSET(TH!K$1,SMALL(Dong6,ROWS($1:33)),))</f>
        <v>554545</v>
      </c>
      <c r="I43" s="707">
        <f ca="1">IF(ROWS($1:33)&gt;COUNT(Dong6),"",OFFSET(TH!K$1,SMALL(Dong6,ROWS($1:33)),))</f>
        <v>554545</v>
      </c>
    </row>
    <row r="44" spans="1:9" s="802" customFormat="1" ht="21" customHeight="1">
      <c r="A44" s="810">
        <f ca="1">IF(ROWS($1:34)&gt;COUNT(Dong6),"",OFFSET(TH!C$1,SMALL(Dong6,ROWS($1:34)),))</f>
        <v>42613</v>
      </c>
      <c r="B44" s="811" t="str">
        <f ca="1">IF(ROWS($1:34)&gt;COUNT(Dong6),"",OFFSET(TH!D$1,SMALL(Dong6,ROWS($1:34)),))</f>
        <v>C06</v>
      </c>
      <c r="C44" s="810">
        <f ca="1">IF(ROWS($1:34)&gt;COUNT(Dong6),"",OFFSET(TH!E$1,SMALL(Dong6,ROWS($1:34)),))</f>
        <v>42613</v>
      </c>
      <c r="D44" s="812" t="str">
        <f ca="1">IF(ROWS($1:34)&gt;COUNT(Dong6),"",OFFSET(TH!F$1,SMALL(Dong6,ROWS($1:34)),))</f>
        <v>VAT Phí sử dụng đường bộ</v>
      </c>
      <c r="E44" s="811">
        <f t="shared" ca="1" si="1"/>
        <v>34</v>
      </c>
      <c r="F44" s="813" t="str">
        <f ca="1">IF(ROWS($1:34)&gt;COUNT(Dong6),"",OFFSET(TH!L$1,SMALL(Dong6,ROWS($1:34)),))</f>
        <v>1331</v>
      </c>
      <c r="G44" s="813" t="str">
        <f ca="1">IF(ROWS($1:34)&gt;COUNT(Dong6),"",OFFSET(TH!M$1,SMALL(Dong6,ROWS($1:34)),))</f>
        <v>1111</v>
      </c>
      <c r="H44" s="707">
        <f ca="1">IF(ROWS($1:34)&gt;COUNT(Dong6),"",OFFSET(TH!K$1,SMALL(Dong6,ROWS($1:34)),))</f>
        <v>55455</v>
      </c>
      <c r="I44" s="707">
        <f ca="1">IF(ROWS($1:34)&gt;COUNT(Dong6),"",OFFSET(TH!K$1,SMALL(Dong6,ROWS($1:34)),))</f>
        <v>55455</v>
      </c>
    </row>
    <row r="45" spans="1:9" s="802" customFormat="1" ht="21" customHeight="1">
      <c r="A45" s="810">
        <f ca="1">IF(ROWS($1:35)&gt;COUNT(Dong6),"",OFFSET(TH!C$1,SMALL(Dong6,ROWS($1:35)),))</f>
        <v>42620</v>
      </c>
      <c r="B45" s="811" t="str">
        <f ca="1">IF(ROWS($1:35)&gt;COUNT(Dong6),"",OFFSET(TH!D$1,SMALL(Dong6,ROWS($1:35)),))</f>
        <v>C11</v>
      </c>
      <c r="C45" s="810">
        <f ca="1">IF(ROWS($1:35)&gt;COUNT(Dong6),"",OFFSET(TH!E$1,SMALL(Dong6,ROWS($1:35)),))</f>
        <v>42620</v>
      </c>
      <c r="D45" s="812" t="str">
        <f ca="1">IF(ROWS($1:35)&gt;COUNT(Dong6),"",OFFSET(TH!F$1,SMALL(Dong6,ROWS($1:35)),))</f>
        <v>Dầu Do</v>
      </c>
      <c r="E45" s="811">
        <f t="shared" ca="1" si="1"/>
        <v>35</v>
      </c>
      <c r="F45" s="813" t="str">
        <f ca="1">IF(ROWS($1:35)&gt;COUNT(Dong6),"",OFFSET(TH!L$1,SMALL(Dong6,ROWS($1:35)),))</f>
        <v>641</v>
      </c>
      <c r="G45" s="813" t="str">
        <f ca="1">IF(ROWS($1:35)&gt;COUNT(Dong6),"",OFFSET(TH!M$1,SMALL(Dong6,ROWS($1:35)),))</f>
        <v>1111</v>
      </c>
      <c r="H45" s="707">
        <f ca="1">IF(ROWS($1:35)&gt;COUNT(Dong6),"",OFFSET(TH!K$1,SMALL(Dong6,ROWS($1:35)),))</f>
        <v>5638527</v>
      </c>
      <c r="I45" s="707">
        <f ca="1">IF(ROWS($1:35)&gt;COUNT(Dong6),"",OFFSET(TH!K$1,SMALL(Dong6,ROWS($1:35)),))</f>
        <v>5638527</v>
      </c>
    </row>
    <row r="46" spans="1:9" s="802" customFormat="1" ht="21" customHeight="1">
      <c r="A46" s="810">
        <f ca="1">IF(ROWS($1:36)&gt;COUNT(Dong6),"",OFFSET(TH!C$1,SMALL(Dong6,ROWS($1:36)),))</f>
        <v>42620</v>
      </c>
      <c r="B46" s="811" t="str">
        <f ca="1">IF(ROWS($1:36)&gt;COUNT(Dong6),"",OFFSET(TH!D$1,SMALL(Dong6,ROWS($1:36)),))</f>
        <v>C11</v>
      </c>
      <c r="C46" s="810">
        <f ca="1">IF(ROWS($1:36)&gt;COUNT(Dong6),"",OFFSET(TH!E$1,SMALL(Dong6,ROWS($1:36)),))</f>
        <v>42620</v>
      </c>
      <c r="D46" s="812" t="str">
        <f ca="1">IF(ROWS($1:36)&gt;COUNT(Dong6),"",OFFSET(TH!F$1,SMALL(Dong6,ROWS($1:36)),))</f>
        <v>VAT Dầu Do</v>
      </c>
      <c r="E46" s="811">
        <f t="shared" ca="1" si="1"/>
        <v>36</v>
      </c>
      <c r="F46" s="813" t="str">
        <f ca="1">IF(ROWS($1:36)&gt;COUNT(Dong6),"",OFFSET(TH!L$1,SMALL(Dong6,ROWS($1:36)),))</f>
        <v>1331</v>
      </c>
      <c r="G46" s="813" t="str">
        <f ca="1">IF(ROWS($1:36)&gt;COUNT(Dong6),"",OFFSET(TH!M$1,SMALL(Dong6,ROWS($1:36)),))</f>
        <v>1111</v>
      </c>
      <c r="H46" s="707">
        <f ca="1">IF(ROWS($1:36)&gt;COUNT(Dong6),"",OFFSET(TH!K$1,SMALL(Dong6,ROWS($1:36)),))</f>
        <v>563853</v>
      </c>
      <c r="I46" s="707">
        <f ca="1">IF(ROWS($1:36)&gt;COUNT(Dong6),"",OFFSET(TH!K$1,SMALL(Dong6,ROWS($1:36)),))</f>
        <v>563853</v>
      </c>
    </row>
    <row r="47" spans="1:9" s="802" customFormat="1" ht="21" customHeight="1">
      <c r="A47" s="810">
        <f ca="1">IF(ROWS($1:37)&gt;COUNT(Dong6),"",OFFSET(TH!C$1,SMALL(Dong6,ROWS($1:37)),))</f>
        <v>42622</v>
      </c>
      <c r="B47" s="811" t="str">
        <f ca="1">IF(ROWS($1:37)&gt;COUNT(Dong6),"",OFFSET(TH!D$1,SMALL(Dong6,ROWS($1:37)),))</f>
        <v>C12</v>
      </c>
      <c r="C47" s="810">
        <f ca="1">IF(ROWS($1:37)&gt;COUNT(Dong6),"",OFFSET(TH!E$1,SMALL(Dong6,ROWS($1:37)),))</f>
        <v>42622</v>
      </c>
      <c r="D47" s="812" t="str">
        <f ca="1">IF(ROWS($1:37)&gt;COUNT(Dong6),"",OFFSET(TH!F$1,SMALL(Dong6,ROWS($1:37)),))</f>
        <v>Mực in</v>
      </c>
      <c r="E47" s="811">
        <f t="shared" ca="1" si="1"/>
        <v>37</v>
      </c>
      <c r="F47" s="813" t="str">
        <f ca="1">IF(ROWS($1:37)&gt;COUNT(Dong6),"",OFFSET(TH!L$1,SMALL(Dong6,ROWS($1:37)),))</f>
        <v>154</v>
      </c>
      <c r="G47" s="813" t="str">
        <f ca="1">IF(ROWS($1:37)&gt;COUNT(Dong6),"",OFFSET(TH!M$1,SMALL(Dong6,ROWS($1:37)),))</f>
        <v>1111</v>
      </c>
      <c r="H47" s="707">
        <f ca="1">IF(ROWS($1:37)&gt;COUNT(Dong6),"",OFFSET(TH!K$1,SMALL(Dong6,ROWS($1:37)),))</f>
        <v>1760000</v>
      </c>
      <c r="I47" s="707">
        <f ca="1">IF(ROWS($1:37)&gt;COUNT(Dong6),"",OFFSET(TH!K$1,SMALL(Dong6,ROWS($1:37)),))</f>
        <v>1760000</v>
      </c>
    </row>
    <row r="48" spans="1:9" s="802" customFormat="1" ht="21" customHeight="1">
      <c r="A48" s="810">
        <f ca="1">IF(ROWS($1:38)&gt;COUNT(Dong6),"",OFFSET(TH!C$1,SMALL(Dong6,ROWS($1:38)),))</f>
        <v>42622</v>
      </c>
      <c r="B48" s="811" t="str">
        <f ca="1">IF(ROWS($1:38)&gt;COUNT(Dong6),"",OFFSET(TH!D$1,SMALL(Dong6,ROWS($1:38)),))</f>
        <v>C12</v>
      </c>
      <c r="C48" s="810">
        <f ca="1">IF(ROWS($1:38)&gt;COUNT(Dong6),"",OFFSET(TH!E$1,SMALL(Dong6,ROWS($1:38)),))</f>
        <v>42622</v>
      </c>
      <c r="D48" s="812" t="str">
        <f ca="1">IF(ROWS($1:38)&gt;COUNT(Dong6),"",OFFSET(TH!F$1,SMALL(Dong6,ROWS($1:38)),))</f>
        <v>VAT Mực in</v>
      </c>
      <c r="E48" s="811">
        <f t="shared" ca="1" si="1"/>
        <v>38</v>
      </c>
      <c r="F48" s="813" t="str">
        <f ca="1">IF(ROWS($1:38)&gt;COUNT(Dong6),"",OFFSET(TH!L$1,SMALL(Dong6,ROWS($1:38)),))</f>
        <v>1331</v>
      </c>
      <c r="G48" s="813" t="str">
        <f ca="1">IF(ROWS($1:38)&gt;COUNT(Dong6),"",OFFSET(TH!M$1,SMALL(Dong6,ROWS($1:38)),))</f>
        <v>1111</v>
      </c>
      <c r="H48" s="707">
        <f ca="1">IF(ROWS($1:38)&gt;COUNT(Dong6),"",OFFSET(TH!K$1,SMALL(Dong6,ROWS($1:38)),))</f>
        <v>176000</v>
      </c>
      <c r="I48" s="707">
        <f ca="1">IF(ROWS($1:38)&gt;COUNT(Dong6),"",OFFSET(TH!K$1,SMALL(Dong6,ROWS($1:38)),))</f>
        <v>176000</v>
      </c>
    </row>
    <row r="49" spans="1:10" s="802" customFormat="1" ht="21" customHeight="1">
      <c r="A49" s="810">
        <f ca="1">IF(ROWS($1:39)&gt;COUNT(Dong6),"",OFFSET(TH!C$1,SMALL(Dong6,ROWS($1:39)),))</f>
        <v>42643</v>
      </c>
      <c r="B49" s="811" t="str">
        <f ca="1">IF(ROWS($1:39)&gt;COUNT(Dong6),"",OFFSET(TH!D$1,SMALL(Dong6,ROWS($1:39)),))</f>
        <v>C06</v>
      </c>
      <c r="C49" s="810">
        <f ca="1">IF(ROWS($1:39)&gt;COUNT(Dong6),"",OFFSET(TH!E$1,SMALL(Dong6,ROWS($1:39)),))</f>
        <v>42643</v>
      </c>
      <c r="D49" s="812" t="str">
        <f ca="1">IF(ROWS($1:39)&gt;COUNT(Dong6),"",OFFSET(TH!F$1,SMALL(Dong6,ROWS($1:39)),))</f>
        <v>Phí sử dụng đường bộ</v>
      </c>
      <c r="E49" s="811">
        <f t="shared" ca="1" si="1"/>
        <v>39</v>
      </c>
      <c r="F49" s="813" t="str">
        <f ca="1">IF(ROWS($1:39)&gt;COUNT(Dong6),"",OFFSET(TH!L$1,SMALL(Dong6,ROWS($1:39)),))</f>
        <v>641</v>
      </c>
      <c r="G49" s="813" t="str">
        <f ca="1">IF(ROWS($1:39)&gt;COUNT(Dong6),"",OFFSET(TH!M$1,SMALL(Dong6,ROWS($1:39)),))</f>
        <v>1111</v>
      </c>
      <c r="H49" s="707">
        <f ca="1">IF(ROWS($1:39)&gt;COUNT(Dong6),"",OFFSET(TH!K$1,SMALL(Dong6,ROWS($1:39)),))</f>
        <v>399999.99999999994</v>
      </c>
      <c r="I49" s="707">
        <f ca="1">IF(ROWS($1:39)&gt;COUNT(Dong6),"",OFFSET(TH!K$1,SMALL(Dong6,ROWS($1:39)),))</f>
        <v>399999.99999999994</v>
      </c>
    </row>
    <row r="50" spans="1:10" s="802" customFormat="1" ht="21" customHeight="1">
      <c r="A50" s="810">
        <f ca="1">IF(ROWS($1:40)&gt;COUNT(Dong6),"",OFFSET(TH!C$1,SMALL(Dong6,ROWS($1:40)),))</f>
        <v>42643</v>
      </c>
      <c r="B50" s="811" t="str">
        <f ca="1">IF(ROWS($1:40)&gt;COUNT(Dong6),"",OFFSET(TH!D$1,SMALL(Dong6,ROWS($1:40)),))</f>
        <v>C06</v>
      </c>
      <c r="C50" s="810">
        <f ca="1">IF(ROWS($1:40)&gt;COUNT(Dong6),"",OFFSET(TH!E$1,SMALL(Dong6,ROWS($1:40)),))</f>
        <v>42643</v>
      </c>
      <c r="D50" s="812" t="str">
        <f ca="1">IF(ROWS($1:40)&gt;COUNT(Dong6),"",OFFSET(TH!F$1,SMALL(Dong6,ROWS($1:40)),))</f>
        <v>VAT Phí sử dụng đường bộ</v>
      </c>
      <c r="E50" s="811">
        <f t="shared" ca="1" si="1"/>
        <v>40</v>
      </c>
      <c r="F50" s="813" t="str">
        <f ca="1">IF(ROWS($1:40)&gt;COUNT(Dong6),"",OFFSET(TH!L$1,SMALL(Dong6,ROWS($1:40)),))</f>
        <v>1331</v>
      </c>
      <c r="G50" s="813" t="str">
        <f ca="1">IF(ROWS($1:40)&gt;COUNT(Dong6),"",OFFSET(TH!M$1,SMALL(Dong6,ROWS($1:40)),))</f>
        <v>1111</v>
      </c>
      <c r="H50" s="707">
        <f ca="1">IF(ROWS($1:40)&gt;COUNT(Dong6),"",OFFSET(TH!K$1,SMALL(Dong6,ROWS($1:40)),))</f>
        <v>40000</v>
      </c>
      <c r="I50" s="707">
        <f ca="1">IF(ROWS($1:40)&gt;COUNT(Dong6),"",OFFSET(TH!K$1,SMALL(Dong6,ROWS($1:40)),))</f>
        <v>40000</v>
      </c>
    </row>
    <row r="51" spans="1:10" s="802" customFormat="1" ht="21" customHeight="1">
      <c r="A51" s="810"/>
      <c r="B51" s="811"/>
      <c r="C51" s="810"/>
      <c r="D51" s="812"/>
      <c r="E51" s="811"/>
      <c r="F51" s="813"/>
      <c r="G51" s="813"/>
      <c r="H51" s="707"/>
      <c r="I51" s="707"/>
    </row>
    <row r="52" spans="1:10" s="802" customFormat="1" ht="21" customHeight="1">
      <c r="A52" s="814"/>
      <c r="B52" s="814"/>
      <c r="C52" s="814"/>
      <c r="D52" s="815" t="s">
        <v>348</v>
      </c>
      <c r="E52" s="816" t="s">
        <v>19</v>
      </c>
      <c r="F52" s="816"/>
      <c r="G52" s="816" t="s">
        <v>19</v>
      </c>
      <c r="H52" s="817">
        <f ca="1">SUBTOTAL(9,$H$10:$H$51)</f>
        <v>860205160</v>
      </c>
      <c r="I52" s="817">
        <f ca="1">SUBTOTAL(9,I10:I51)</f>
        <v>860205160</v>
      </c>
    </row>
    <row r="53" spans="1:10" s="802" customFormat="1" ht="15">
      <c r="A53" s="818" t="s">
        <v>419</v>
      </c>
    </row>
    <row r="54" spans="1:10" s="802" customFormat="1" ht="15">
      <c r="A54" s="818" t="str">
        <f ca="1">"- Ngày mở sổ: "&amp;DAY($A$11)&amp;"/"&amp;MONTH($A$11)&amp;"/ " &amp;YEAR($A$11)</f>
        <v>- Ngày mở sổ: 1/7/ 2016</v>
      </c>
    </row>
    <row r="55" spans="1:10" s="802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9"/>
      <c r="J55" s="819"/>
    </row>
    <row r="56" spans="1:10" s="802" customFormat="1" ht="15">
      <c r="B56" s="819" t="s">
        <v>345</v>
      </c>
      <c r="D56" s="819" t="s">
        <v>12</v>
      </c>
      <c r="H56" s="819" t="s">
        <v>346</v>
      </c>
      <c r="I56" s="819"/>
      <c r="J56" s="819"/>
    </row>
    <row r="57" spans="1:10" s="802" customFormat="1" ht="15">
      <c r="B57" s="819" t="s">
        <v>13</v>
      </c>
      <c r="D57" s="819" t="s">
        <v>13</v>
      </c>
      <c r="H57" s="819" t="s">
        <v>136</v>
      </c>
      <c r="I57" s="819"/>
      <c r="J57" s="819"/>
    </row>
    <row r="58" spans="1:10" s="802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975" t="s">
        <v>145</v>
      </c>
      <c r="H2" s="975"/>
      <c r="I2" s="975"/>
    </row>
    <row r="3" spans="1:9" ht="15.75" customHeight="1">
      <c r="A3" s="1" t="str">
        <f>TH!A2</f>
        <v>Địa chỉ: 1A227/1 Ấp 1, Phạm Văn Hai, Bình Chánh, TPHCM</v>
      </c>
      <c r="G3" s="976" t="e">
        <f ca="1">IF(YEAR($A$15)&gt;=2015,"(Ban hành theo Thông tư số 200/2014/TT-BTC 
 Ngày 22/12/2014 của Bộ Tài chính)","(Ban hành kèm theo QĐ 48/2006/QĐ-BTC ngày 24/09/2006 của Bộ trưởng BTC)")</f>
        <v>#REF!</v>
      </c>
      <c r="H3" s="976"/>
      <c r="I3" s="976"/>
    </row>
    <row r="4" spans="1:9">
      <c r="F4" s="17"/>
      <c r="G4" s="976"/>
      <c r="H4" s="976"/>
      <c r="I4" s="976"/>
    </row>
    <row r="5" spans="1:9" ht="17.25" customHeight="1">
      <c r="A5" s="977" t="s">
        <v>146</v>
      </c>
      <c r="B5" s="977"/>
      <c r="C5" s="977"/>
      <c r="D5" s="977"/>
      <c r="E5" s="977"/>
      <c r="F5" s="977"/>
      <c r="G5" s="977"/>
      <c r="H5" s="977"/>
      <c r="I5" s="977"/>
    </row>
    <row r="6" spans="1:9">
      <c r="A6" s="978" t="s">
        <v>147</v>
      </c>
      <c r="B6" s="979"/>
      <c r="C6" s="979"/>
      <c r="D6" s="979"/>
      <c r="E6" s="979"/>
      <c r="F6" s="979"/>
      <c r="G6" s="979"/>
      <c r="H6" s="979"/>
      <c r="I6" s="979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79" t="s">
        <v>29</v>
      </c>
      <c r="B9" s="980"/>
      <c r="C9" s="980"/>
      <c r="D9" s="980"/>
      <c r="E9" s="980"/>
      <c r="F9" s="980"/>
      <c r="G9" s="980"/>
      <c r="H9" s="980"/>
      <c r="I9" s="980"/>
    </row>
    <row r="10" spans="1:9" ht="9.75" customHeight="1">
      <c r="C10" s="981"/>
      <c r="D10" s="982"/>
      <c r="E10" s="982"/>
      <c r="F10" s="982"/>
      <c r="G10" s="982"/>
      <c r="H10" s="982"/>
      <c r="I10" s="982"/>
    </row>
    <row r="11" spans="1:9" s="18" customFormat="1" ht="19.5" customHeight="1">
      <c r="A11" s="983" t="s">
        <v>20</v>
      </c>
      <c r="B11" s="973" t="s">
        <v>1</v>
      </c>
      <c r="C11" s="984"/>
      <c r="D11" s="983" t="s">
        <v>0</v>
      </c>
      <c r="E11" s="983" t="s">
        <v>14</v>
      </c>
      <c r="F11" s="973" t="s">
        <v>21</v>
      </c>
      <c r="G11" s="984"/>
      <c r="H11" s="973" t="s">
        <v>31</v>
      </c>
      <c r="I11" s="974"/>
    </row>
    <row r="12" spans="1:9" s="18" customFormat="1" ht="32.25" customHeight="1">
      <c r="A12" s="983"/>
      <c r="B12" s="241" t="s">
        <v>15</v>
      </c>
      <c r="C12" s="241" t="s">
        <v>32</v>
      </c>
      <c r="D12" s="983"/>
      <c r="E12" s="983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 t="e">
        <f ca="1">IF(ROWS($1:1)&gt;COUNT(Dong5),"",OFFSET(TH!C$1,SMALL(Dong5,ROWS($1:1)),))</f>
        <v>#REF!</v>
      </c>
      <c r="B15" s="198" t="e">
        <f ca="1">IF(ROWS($1:1)&gt;COUNT(Dong5),"",OFFSET(TH!D$1,SMALL(Dong5,ROWS($1:1)),))</f>
        <v>#REF!</v>
      </c>
      <c r="C15" s="198" t="e">
        <f ca="1">IF(ROWS($1:1)&gt;COUNT(Dong5),"",OFFSET(TH!E$1,SMALL(Dong5,ROWS($1:1)),))</f>
        <v>#REF!</v>
      </c>
      <c r="D15" s="244" t="e">
        <f ca="1">IF(ROWS($1:1)&gt;COUNT(Dong5),"",OFFSET(TH!F$1,SMALL(Dong5,ROWS($1:1)),))</f>
        <v>#REF!</v>
      </c>
      <c r="E15" s="198" t="e">
        <f ca="1">IF(ROWS($1:1)&gt;COUNT(Dong5),"",IF(OFFSET(TH!L$1,SMALL(Dong5,ROWS($1:1)),)=$E$7,OFFSET(TH!M$1,SMALL(Dong5,ROWS($1:1)),),OFFSET(TH!L$1,SMALL(Dong5,ROWS($1:1)),)))</f>
        <v>#REF!</v>
      </c>
      <c r="F15" s="245" t="e">
        <f ca="1">IF(ROWS($1:1)&gt;COUNT(Dong5),0,IF(OFFSET(TH!L$1,SMALL(Dong5,ROWS($1:1)),)=$E$7,OFFSET(TH!K$1,SMALL(Dong5,ROWS($1:1)),),0))</f>
        <v>#REF!</v>
      </c>
      <c r="G15" s="243" t="e">
        <f ca="1">IF(ROWS($1:1)&gt;COUNT(Dong5),0,IF(OFFSET(TH!M$1,SMALL(Dong5,ROWS($1:1)),)=$E$7,OFFSET(TH!K$1,SMALL(Dong5,ROWS($1:1)),),0))</f>
        <v>#REF!</v>
      </c>
      <c r="H15" s="246" t="e">
        <f ca="1">IF(D15&lt;&gt;"",MAX(H14+F15-G15-I14,0),0)</f>
        <v>#REF!</v>
      </c>
      <c r="I15" s="246" t="e">
        <f ca="1">IF(D15&lt;&gt;"",MAX(I14+G15-H14-F15,0),0)</f>
        <v>#REF!</v>
      </c>
    </row>
    <row r="16" spans="1:9" s="18" customFormat="1" ht="18" customHeight="1">
      <c r="A16" s="198" t="e">
        <f ca="1">IF(ROWS($1:2)&gt;COUNT(Dong5),"",OFFSET(TH!C$1,SMALL(Dong5,ROWS($1:2)),))</f>
        <v>#REF!</v>
      </c>
      <c r="B16" s="198" t="e">
        <f ca="1">IF(ROWS($1:2)&gt;COUNT(Dong5),"",OFFSET(TH!D$1,SMALL(Dong5,ROWS($1:2)),))</f>
        <v>#REF!</v>
      </c>
      <c r="C16" s="198" t="e">
        <f ca="1">IF(ROWS($1:2)&gt;COUNT(Dong5),"",OFFSET(TH!E$1,SMALL(Dong5,ROWS($1:2)),))</f>
        <v>#REF!</v>
      </c>
      <c r="D16" s="244" t="e">
        <f ca="1">IF(ROWS($1:2)&gt;COUNT(Dong5),"",OFFSET(TH!F$1,SMALL(Dong5,ROWS($1:2)),))</f>
        <v>#REF!</v>
      </c>
      <c r="E16" s="198" t="e">
        <f ca="1">IF(ROWS($1:2)&gt;COUNT(Dong5),"",IF(OFFSET(TH!L$1,SMALL(Dong5,ROWS($1:2)),)=$E$7,OFFSET(TH!M$1,SMALL(Dong5,ROWS($1:2)),),OFFSET(TH!L$1,SMALL(Dong5,ROWS($1:2)),)))</f>
        <v>#REF!</v>
      </c>
      <c r="F16" s="245" t="e">
        <f ca="1">IF(ROWS($1:2)&gt;COUNT(Dong5),0,IF(OFFSET(TH!L$1,SMALL(Dong5,ROWS($1:2)),)=$E$7,OFFSET(TH!K$1,SMALL(Dong5,ROWS($1:2)),),0))</f>
        <v>#REF!</v>
      </c>
      <c r="G16" s="243" t="e">
        <f ca="1">IF(ROWS($1:2)&gt;COUNT(Dong5),0,IF(OFFSET(TH!M$1,SMALL(Dong5,ROWS($1:2)),)=$E$7,OFFSET(TH!K$1,SMALL(Dong5,ROWS($1:2)),),0))</f>
        <v>#REF!</v>
      </c>
      <c r="H16" s="246" t="e">
        <f t="shared" ref="H16:H20" ca="1" si="0">IF(D16&lt;&gt;"",MAX(H15+F16-G16-I15,0),0)</f>
        <v>#REF!</v>
      </c>
      <c r="I16" s="246" t="e">
        <f t="shared" ref="I16:I20" ca="1" si="1">IF(D16&lt;&gt;"",MAX(I15+G16-H15-F16,0),0)</f>
        <v>#REF!</v>
      </c>
    </row>
    <row r="17" spans="1:9" s="18" customFormat="1" ht="18" customHeight="1">
      <c r="A17" s="198" t="e">
        <f ca="1">IF(ROWS($1:3)&gt;COUNT(Dong5),"",OFFSET(TH!C$1,SMALL(Dong5,ROWS($1:3)),))</f>
        <v>#REF!</v>
      </c>
      <c r="B17" s="198" t="e">
        <f ca="1">IF(ROWS($1:3)&gt;COUNT(Dong5),"",OFFSET(TH!D$1,SMALL(Dong5,ROWS($1:3)),))</f>
        <v>#REF!</v>
      </c>
      <c r="C17" s="198" t="e">
        <f ca="1">IF(ROWS($1:3)&gt;COUNT(Dong5),"",OFFSET(TH!E$1,SMALL(Dong5,ROWS($1:3)),))</f>
        <v>#REF!</v>
      </c>
      <c r="D17" s="244" t="e">
        <f ca="1">IF(ROWS($1:3)&gt;COUNT(Dong5),"",OFFSET(TH!F$1,SMALL(Dong5,ROWS($1:3)),))</f>
        <v>#REF!</v>
      </c>
      <c r="E17" s="198" t="e">
        <f ca="1">IF(ROWS($1:3)&gt;COUNT(Dong5),"",IF(OFFSET(TH!L$1,SMALL(Dong5,ROWS($1:3)),)=$E$7,OFFSET(TH!M$1,SMALL(Dong5,ROWS($1:3)),),OFFSET(TH!L$1,SMALL(Dong5,ROWS($1:3)),)))</f>
        <v>#REF!</v>
      </c>
      <c r="F17" s="245" t="e">
        <f ca="1">IF(ROWS($1:3)&gt;COUNT(Dong5),0,IF(OFFSET(TH!L$1,SMALL(Dong5,ROWS($1:3)),)=$E$7,OFFSET(TH!K$1,SMALL(Dong5,ROWS($1:3)),),0))</f>
        <v>#REF!</v>
      </c>
      <c r="G17" s="243" t="e">
        <f ca="1">IF(ROWS($1:3)&gt;COUNT(Dong5),0,IF(OFFSET(TH!M$1,SMALL(Dong5,ROWS($1:3)),)=$E$7,OFFSET(TH!K$1,SMALL(Dong5,ROWS($1:3)),),0))</f>
        <v>#REF!</v>
      </c>
      <c r="H17" s="246" t="e">
        <f t="shared" ca="1" si="0"/>
        <v>#REF!</v>
      </c>
      <c r="I17" s="246" t="e">
        <f t="shared" ca="1" si="1"/>
        <v>#REF!</v>
      </c>
    </row>
    <row r="18" spans="1:9" s="18" customFormat="1" ht="18" customHeight="1">
      <c r="A18" s="198" t="e">
        <f ca="1">IF(ROWS($1:4)&gt;COUNT(Dong5),"",OFFSET(TH!C$1,SMALL(Dong5,ROWS($1:4)),))</f>
        <v>#REF!</v>
      </c>
      <c r="B18" s="198" t="e">
        <f ca="1">IF(ROWS($1:4)&gt;COUNT(Dong5),"",OFFSET(TH!D$1,SMALL(Dong5,ROWS($1:4)),))</f>
        <v>#REF!</v>
      </c>
      <c r="C18" s="198" t="e">
        <f ca="1">IF(ROWS($1:4)&gt;COUNT(Dong5),"",OFFSET(TH!E$1,SMALL(Dong5,ROWS($1:4)),))</f>
        <v>#REF!</v>
      </c>
      <c r="D18" s="244" t="e">
        <f ca="1">IF(ROWS($1:4)&gt;COUNT(Dong5),"",OFFSET(TH!F$1,SMALL(Dong5,ROWS($1:4)),))</f>
        <v>#REF!</v>
      </c>
      <c r="E18" s="198" t="e">
        <f ca="1">IF(ROWS($1:4)&gt;COUNT(Dong5),"",IF(OFFSET(TH!L$1,SMALL(Dong5,ROWS($1:4)),)=$E$7,OFFSET(TH!M$1,SMALL(Dong5,ROWS($1:4)),),OFFSET(TH!L$1,SMALL(Dong5,ROWS($1:4)),)))</f>
        <v>#REF!</v>
      </c>
      <c r="F18" s="245" t="e">
        <f ca="1">IF(ROWS($1:4)&gt;COUNT(Dong5),0,IF(OFFSET(TH!L$1,SMALL(Dong5,ROWS($1:4)),)=$E$7,OFFSET(TH!K$1,SMALL(Dong5,ROWS($1:4)),),0))</f>
        <v>#REF!</v>
      </c>
      <c r="G18" s="243" t="e">
        <f ca="1">IF(ROWS($1:4)&gt;COUNT(Dong5),0,IF(OFFSET(TH!M$1,SMALL(Dong5,ROWS($1:4)),)=$E$7,OFFSET(TH!K$1,SMALL(Dong5,ROWS($1:4)),),0))</f>
        <v>#REF!</v>
      </c>
      <c r="H18" s="246" t="e">
        <f t="shared" ca="1" si="0"/>
        <v>#REF!</v>
      </c>
      <c r="I18" s="246" t="e">
        <f t="shared" ca="1" si="1"/>
        <v>#REF!</v>
      </c>
    </row>
    <row r="19" spans="1:9" s="18" customFormat="1" ht="18" customHeight="1">
      <c r="A19" s="198" t="e">
        <f ca="1">IF(ROWS($1:5)&gt;COUNT(Dong5),"",OFFSET(TH!C$1,SMALL(Dong5,ROWS($1:5)),))</f>
        <v>#REF!</v>
      </c>
      <c r="B19" s="198" t="e">
        <f ca="1">IF(ROWS($1:5)&gt;COUNT(Dong5),"",OFFSET(TH!D$1,SMALL(Dong5,ROWS($1:5)),))</f>
        <v>#REF!</v>
      </c>
      <c r="C19" s="198" t="e">
        <f ca="1">IF(ROWS($1:5)&gt;COUNT(Dong5),"",OFFSET(TH!E$1,SMALL(Dong5,ROWS($1:5)),))</f>
        <v>#REF!</v>
      </c>
      <c r="D19" s="244" t="e">
        <f ca="1">IF(ROWS($1:5)&gt;COUNT(Dong5),"",OFFSET(TH!F$1,SMALL(Dong5,ROWS($1:5)),))</f>
        <v>#REF!</v>
      </c>
      <c r="E19" s="198" t="e">
        <f ca="1">IF(ROWS($1:5)&gt;COUNT(Dong5),"",IF(OFFSET(TH!L$1,SMALL(Dong5,ROWS($1:5)),)=$E$7,OFFSET(TH!M$1,SMALL(Dong5,ROWS($1:5)),),OFFSET(TH!L$1,SMALL(Dong5,ROWS($1:5)),)))</f>
        <v>#REF!</v>
      </c>
      <c r="F19" s="245" t="e">
        <f ca="1">IF(ROWS($1:5)&gt;COUNT(Dong5),0,IF(OFFSET(TH!L$1,SMALL(Dong5,ROWS($1:5)),)=$E$7,OFFSET(TH!K$1,SMALL(Dong5,ROWS($1:5)),),0))</f>
        <v>#REF!</v>
      </c>
      <c r="G19" s="243" t="e">
        <f ca="1">IF(ROWS($1:5)&gt;COUNT(Dong5),0,IF(OFFSET(TH!M$1,SMALL(Dong5,ROWS($1:5)),)=$E$7,OFFSET(TH!K$1,SMALL(Dong5,ROWS($1:5)),),0))</f>
        <v>#REF!</v>
      </c>
      <c r="H19" s="246" t="e">
        <f t="shared" ca="1" si="0"/>
        <v>#REF!</v>
      </c>
      <c r="I19" s="246" t="e">
        <f t="shared" ca="1" si="1"/>
        <v>#REF!</v>
      </c>
    </row>
    <row r="20" spans="1:9" s="18" customFormat="1" ht="18" customHeight="1">
      <c r="A20" s="198" t="e">
        <f ca="1">IF(ROWS($1:6)&gt;COUNT(Dong5),"",OFFSET(TH!C$1,SMALL(Dong5,ROWS($1:6)),))</f>
        <v>#REF!</v>
      </c>
      <c r="B20" s="198" t="e">
        <f ca="1">IF(ROWS($1:6)&gt;COUNT(Dong5),"",OFFSET(TH!D$1,SMALL(Dong5,ROWS($1:6)),))</f>
        <v>#REF!</v>
      </c>
      <c r="C20" s="198" t="e">
        <f ca="1">IF(ROWS($1:6)&gt;COUNT(Dong5),"",OFFSET(TH!E$1,SMALL(Dong5,ROWS($1:6)),))</f>
        <v>#REF!</v>
      </c>
      <c r="D20" s="244" t="e">
        <f ca="1">IF(ROWS($1:6)&gt;COUNT(Dong5),"",OFFSET(TH!F$1,SMALL(Dong5,ROWS($1:6)),))</f>
        <v>#REF!</v>
      </c>
      <c r="E20" s="198" t="e">
        <f ca="1">IF(ROWS($1:6)&gt;COUNT(Dong5),"",IF(OFFSET(TH!L$1,SMALL(Dong5,ROWS($1:6)),)=$E$7,OFFSET(TH!M$1,SMALL(Dong5,ROWS($1:6)),),OFFSET(TH!L$1,SMALL(Dong5,ROWS($1:6)),)))</f>
        <v>#REF!</v>
      </c>
      <c r="F20" s="245" t="e">
        <f ca="1">IF(ROWS($1:6)&gt;COUNT(Dong5),0,IF(OFFSET(TH!L$1,SMALL(Dong5,ROWS($1:6)),)=$E$7,OFFSET(TH!K$1,SMALL(Dong5,ROWS($1:6)),),0))</f>
        <v>#REF!</v>
      </c>
      <c r="G20" s="243" t="e">
        <f ca="1">IF(ROWS($1:6)&gt;COUNT(Dong5),0,IF(OFFSET(TH!M$1,SMALL(Dong5,ROWS($1:6)),)=$E$7,OFFSET(TH!K$1,SMALL(Dong5,ROWS($1:6)),),0))</f>
        <v>#REF!</v>
      </c>
      <c r="H20" s="246" t="e">
        <f t="shared" ca="1" si="0"/>
        <v>#REF!</v>
      </c>
      <c r="I20" s="246" t="e">
        <f t="shared" ca="1" si="1"/>
        <v>#REF!</v>
      </c>
    </row>
    <row r="21" spans="1:9" s="18" customFormat="1" ht="18" customHeight="1">
      <c r="A21" s="198" t="e">
        <f ca="1">IF(ROWS($1:7)&gt;COUNT(Dong5),"",OFFSET(TH!C$1,SMALL(Dong5,ROWS($1:7)),))</f>
        <v>#REF!</v>
      </c>
      <c r="B21" s="198" t="e">
        <f ca="1">IF(ROWS($1:7)&gt;COUNT(Dong5),"",OFFSET(TH!D$1,SMALL(Dong5,ROWS($1:7)),))</f>
        <v>#REF!</v>
      </c>
      <c r="C21" s="198" t="e">
        <f ca="1">IF(ROWS($1:7)&gt;COUNT(Dong5),"",OFFSET(TH!E$1,SMALL(Dong5,ROWS($1:7)),))</f>
        <v>#REF!</v>
      </c>
      <c r="D21" s="244" t="e">
        <f ca="1">IF(ROWS($1:7)&gt;COUNT(Dong5),"",OFFSET(TH!F$1,SMALL(Dong5,ROWS($1:7)),))</f>
        <v>#REF!</v>
      </c>
      <c r="E21" s="198" t="e">
        <f ca="1">IF(ROWS($1:7)&gt;COUNT(Dong5),"",IF(OFFSET(TH!L$1,SMALL(Dong5,ROWS($1:7)),)=$E$7,OFFSET(TH!M$1,SMALL(Dong5,ROWS($1:7)),),OFFSET(TH!L$1,SMALL(Dong5,ROWS($1:7)),)))</f>
        <v>#REF!</v>
      </c>
      <c r="F21" s="245" t="e">
        <f ca="1">IF(ROWS($1:7)&gt;COUNT(Dong5),0,IF(OFFSET(TH!L$1,SMALL(Dong5,ROWS($1:7)),)=$E$7,OFFSET(TH!K$1,SMALL(Dong5,ROWS($1:7)),),0))</f>
        <v>#REF!</v>
      </c>
      <c r="G21" s="243" t="e">
        <f ca="1">IF(ROWS($1:7)&gt;COUNT(Dong5),0,IF(OFFSET(TH!M$1,SMALL(Dong5,ROWS($1:7)),)=$E$7,OFFSET(TH!K$1,SMALL(Dong5,ROWS($1:7)),),0))</f>
        <v>#REF!</v>
      </c>
      <c r="H21" s="246" t="e">
        <f t="shared" ref="H21:H29" ca="1" si="2">IF(D21&lt;&gt;"",MAX(H20+F21-G21-I20,0),0)</f>
        <v>#REF!</v>
      </c>
      <c r="I21" s="246" t="e">
        <f t="shared" ref="I21:I29" ca="1" si="3">IF(D21&lt;&gt;"",MAX(I20+G21-H20-F21,0),0)</f>
        <v>#REF!</v>
      </c>
    </row>
    <row r="22" spans="1:9" s="18" customFormat="1" ht="18" customHeight="1">
      <c r="A22" s="198" t="e">
        <f ca="1">IF(ROWS($1:8)&gt;COUNT(Dong5),"",OFFSET(TH!C$1,SMALL(Dong5,ROWS($1:8)),))</f>
        <v>#REF!</v>
      </c>
      <c r="B22" s="198" t="e">
        <f ca="1">IF(ROWS($1:8)&gt;COUNT(Dong5),"",OFFSET(TH!D$1,SMALL(Dong5,ROWS($1:8)),))</f>
        <v>#REF!</v>
      </c>
      <c r="C22" s="198" t="e">
        <f ca="1">IF(ROWS($1:8)&gt;COUNT(Dong5),"",OFFSET(TH!E$1,SMALL(Dong5,ROWS($1:8)),))</f>
        <v>#REF!</v>
      </c>
      <c r="D22" s="244" t="e">
        <f ca="1">IF(ROWS($1:8)&gt;COUNT(Dong5),"",OFFSET(TH!F$1,SMALL(Dong5,ROWS($1:8)),))</f>
        <v>#REF!</v>
      </c>
      <c r="E22" s="198" t="e">
        <f ca="1">IF(ROWS($1:8)&gt;COUNT(Dong5),"",IF(OFFSET(TH!L$1,SMALL(Dong5,ROWS($1:8)),)=$E$7,OFFSET(TH!M$1,SMALL(Dong5,ROWS($1:8)),),OFFSET(TH!L$1,SMALL(Dong5,ROWS($1:8)),)))</f>
        <v>#REF!</v>
      </c>
      <c r="F22" s="245" t="e">
        <f ca="1">IF(ROWS($1:8)&gt;COUNT(Dong5),0,IF(OFFSET(TH!L$1,SMALL(Dong5,ROWS($1:8)),)=$E$7,OFFSET(TH!K$1,SMALL(Dong5,ROWS($1:8)),),0))</f>
        <v>#REF!</v>
      </c>
      <c r="G22" s="243" t="e">
        <f ca="1">IF(ROWS($1:8)&gt;COUNT(Dong5),0,IF(OFFSET(TH!M$1,SMALL(Dong5,ROWS($1:8)),)=$E$7,OFFSET(TH!K$1,SMALL(Dong5,ROWS($1:8)),),0))</f>
        <v>#REF!</v>
      </c>
      <c r="H22" s="246" t="e">
        <f t="shared" ca="1" si="2"/>
        <v>#REF!</v>
      </c>
      <c r="I22" s="246" t="e">
        <f t="shared" ca="1" si="3"/>
        <v>#REF!</v>
      </c>
    </row>
    <row r="23" spans="1:9" s="18" customFormat="1" ht="18" customHeight="1">
      <c r="A23" s="198" t="e">
        <f ca="1">IF(ROWS($1:9)&gt;COUNT(Dong5),"",OFFSET(TH!C$1,SMALL(Dong5,ROWS($1:9)),))</f>
        <v>#REF!</v>
      </c>
      <c r="B23" s="198" t="e">
        <f ca="1">IF(ROWS($1:9)&gt;COUNT(Dong5),"",OFFSET(TH!D$1,SMALL(Dong5,ROWS($1:9)),))</f>
        <v>#REF!</v>
      </c>
      <c r="C23" s="198" t="e">
        <f ca="1">IF(ROWS($1:9)&gt;COUNT(Dong5),"",OFFSET(TH!E$1,SMALL(Dong5,ROWS($1:9)),))</f>
        <v>#REF!</v>
      </c>
      <c r="D23" s="244" t="e">
        <f ca="1">IF(ROWS($1:9)&gt;COUNT(Dong5),"",OFFSET(TH!F$1,SMALL(Dong5,ROWS($1:9)),))</f>
        <v>#REF!</v>
      </c>
      <c r="E23" s="198" t="e">
        <f ca="1">IF(ROWS($1:9)&gt;COUNT(Dong5),"",IF(OFFSET(TH!L$1,SMALL(Dong5,ROWS($1:9)),)=$E$7,OFFSET(TH!M$1,SMALL(Dong5,ROWS($1:9)),),OFFSET(TH!L$1,SMALL(Dong5,ROWS($1:9)),)))</f>
        <v>#REF!</v>
      </c>
      <c r="F23" s="245" t="e">
        <f ca="1">IF(ROWS($1:9)&gt;COUNT(Dong5),0,IF(OFFSET(TH!L$1,SMALL(Dong5,ROWS($1:9)),)=$E$7,OFFSET(TH!K$1,SMALL(Dong5,ROWS($1:9)),),0))</f>
        <v>#REF!</v>
      </c>
      <c r="G23" s="243" t="e">
        <f ca="1">IF(ROWS($1:9)&gt;COUNT(Dong5),0,IF(OFFSET(TH!M$1,SMALL(Dong5,ROWS($1:9)),)=$E$7,OFFSET(TH!K$1,SMALL(Dong5,ROWS($1:9)),),0))</f>
        <v>#REF!</v>
      </c>
      <c r="H23" s="246" t="e">
        <f t="shared" ca="1" si="2"/>
        <v>#REF!</v>
      </c>
      <c r="I23" s="246" t="e">
        <f t="shared" ca="1" si="3"/>
        <v>#REF!</v>
      </c>
    </row>
    <row r="24" spans="1:9" s="18" customFormat="1" ht="18" customHeight="1">
      <c r="A24" s="198" t="e">
        <f ca="1">IF(ROWS($1:10)&gt;COUNT(Dong5),"",OFFSET(TH!C$1,SMALL(Dong5,ROWS($1:10)),))</f>
        <v>#REF!</v>
      </c>
      <c r="B24" s="198" t="e">
        <f ca="1">IF(ROWS($1:10)&gt;COUNT(Dong5),"",OFFSET(TH!D$1,SMALL(Dong5,ROWS($1:10)),))</f>
        <v>#REF!</v>
      </c>
      <c r="C24" s="198" t="e">
        <f ca="1">IF(ROWS($1:10)&gt;COUNT(Dong5),"",OFFSET(TH!E$1,SMALL(Dong5,ROWS($1:10)),))</f>
        <v>#REF!</v>
      </c>
      <c r="D24" s="244" t="e">
        <f ca="1">IF(ROWS($1:10)&gt;COUNT(Dong5),"",OFFSET(TH!F$1,SMALL(Dong5,ROWS($1:10)),))</f>
        <v>#REF!</v>
      </c>
      <c r="E24" s="198" t="e">
        <f ca="1">IF(ROWS($1:10)&gt;COUNT(Dong5),"",IF(OFFSET(TH!L$1,SMALL(Dong5,ROWS($1:10)),)=$E$7,OFFSET(TH!M$1,SMALL(Dong5,ROWS($1:10)),),OFFSET(TH!L$1,SMALL(Dong5,ROWS($1:10)),)))</f>
        <v>#REF!</v>
      </c>
      <c r="F24" s="245" t="e">
        <f ca="1">IF(ROWS($1:10)&gt;COUNT(Dong5),0,IF(OFFSET(TH!L$1,SMALL(Dong5,ROWS($1:10)),)=$E$7,OFFSET(TH!K$1,SMALL(Dong5,ROWS($1:10)),),0))</f>
        <v>#REF!</v>
      </c>
      <c r="G24" s="243" t="e">
        <f ca="1">IF(ROWS($1:10)&gt;COUNT(Dong5),0,IF(OFFSET(TH!M$1,SMALL(Dong5,ROWS($1:10)),)=$E$7,OFFSET(TH!K$1,SMALL(Dong5,ROWS($1:10)),),0))</f>
        <v>#REF!</v>
      </c>
      <c r="H24" s="246" t="e">
        <f t="shared" ca="1" si="2"/>
        <v>#REF!</v>
      </c>
      <c r="I24" s="246" t="e">
        <f t="shared" ca="1" si="3"/>
        <v>#REF!</v>
      </c>
    </row>
    <row r="25" spans="1:9" s="18" customFormat="1" ht="18" customHeight="1">
      <c r="A25" s="198" t="e">
        <f ca="1">IF(ROWS($1:11)&gt;COUNT(Dong5),"",OFFSET(TH!C$1,SMALL(Dong5,ROWS($1:11)),))</f>
        <v>#REF!</v>
      </c>
      <c r="B25" s="198" t="e">
        <f ca="1">IF(ROWS($1:11)&gt;COUNT(Dong5),"",OFFSET(TH!D$1,SMALL(Dong5,ROWS($1:11)),))</f>
        <v>#REF!</v>
      </c>
      <c r="C25" s="198" t="e">
        <f ca="1">IF(ROWS($1:11)&gt;COUNT(Dong5),"",OFFSET(TH!E$1,SMALL(Dong5,ROWS($1:11)),))</f>
        <v>#REF!</v>
      </c>
      <c r="D25" s="244" t="e">
        <f ca="1">IF(ROWS($1:11)&gt;COUNT(Dong5),"",OFFSET(TH!F$1,SMALL(Dong5,ROWS($1:11)),))</f>
        <v>#REF!</v>
      </c>
      <c r="E25" s="198" t="e">
        <f ca="1">IF(ROWS($1:11)&gt;COUNT(Dong5),"",IF(OFFSET(TH!L$1,SMALL(Dong5,ROWS($1:11)),)=$E$7,OFFSET(TH!M$1,SMALL(Dong5,ROWS($1:11)),),OFFSET(TH!L$1,SMALL(Dong5,ROWS($1:11)),)))</f>
        <v>#REF!</v>
      </c>
      <c r="F25" s="245" t="e">
        <f ca="1">IF(ROWS($1:11)&gt;COUNT(Dong5),0,IF(OFFSET(TH!L$1,SMALL(Dong5,ROWS($1:11)),)=$E$7,OFFSET(TH!K$1,SMALL(Dong5,ROWS($1:11)),),0))</f>
        <v>#REF!</v>
      </c>
      <c r="G25" s="243" t="e">
        <f ca="1">IF(ROWS($1:11)&gt;COUNT(Dong5),0,IF(OFFSET(TH!M$1,SMALL(Dong5,ROWS($1:11)),)=$E$7,OFFSET(TH!K$1,SMALL(Dong5,ROWS($1:11)),),0))</f>
        <v>#REF!</v>
      </c>
      <c r="H25" s="246" t="e">
        <f t="shared" ca="1" si="2"/>
        <v>#REF!</v>
      </c>
      <c r="I25" s="246" t="e">
        <f t="shared" ca="1" si="3"/>
        <v>#REF!</v>
      </c>
    </row>
    <row r="26" spans="1:9" s="18" customFormat="1" ht="18" customHeight="1">
      <c r="A26" s="198" t="e">
        <f ca="1">IF(ROWS($1:12)&gt;COUNT(Dong5),"",OFFSET(TH!C$1,SMALL(Dong5,ROWS($1:12)),))</f>
        <v>#REF!</v>
      </c>
      <c r="B26" s="198" t="e">
        <f ca="1">IF(ROWS($1:12)&gt;COUNT(Dong5),"",OFFSET(TH!D$1,SMALL(Dong5,ROWS($1:12)),))</f>
        <v>#REF!</v>
      </c>
      <c r="C26" s="198" t="e">
        <f ca="1">IF(ROWS($1:12)&gt;COUNT(Dong5),"",OFFSET(TH!E$1,SMALL(Dong5,ROWS($1:12)),))</f>
        <v>#REF!</v>
      </c>
      <c r="D26" s="244" t="e">
        <f ca="1">IF(ROWS($1:12)&gt;COUNT(Dong5),"",OFFSET(TH!F$1,SMALL(Dong5,ROWS($1:12)),))</f>
        <v>#REF!</v>
      </c>
      <c r="E26" s="198" t="e">
        <f ca="1">IF(ROWS($1:12)&gt;COUNT(Dong5),"",IF(OFFSET(TH!L$1,SMALL(Dong5,ROWS($1:12)),)=$E$7,OFFSET(TH!M$1,SMALL(Dong5,ROWS($1:12)),),OFFSET(TH!L$1,SMALL(Dong5,ROWS($1:12)),)))</f>
        <v>#REF!</v>
      </c>
      <c r="F26" s="245" t="e">
        <f ca="1">IF(ROWS($1:12)&gt;COUNT(Dong5),0,IF(OFFSET(TH!L$1,SMALL(Dong5,ROWS($1:12)),)=$E$7,OFFSET(TH!K$1,SMALL(Dong5,ROWS($1:12)),),0))</f>
        <v>#REF!</v>
      </c>
      <c r="G26" s="243" t="e">
        <f ca="1">IF(ROWS($1:12)&gt;COUNT(Dong5),0,IF(OFFSET(TH!M$1,SMALL(Dong5,ROWS($1:12)),)=$E$7,OFFSET(TH!K$1,SMALL(Dong5,ROWS($1:12)),),0))</f>
        <v>#REF!</v>
      </c>
      <c r="H26" s="246" t="e">
        <f t="shared" ca="1" si="2"/>
        <v>#REF!</v>
      </c>
      <c r="I26" s="246" t="e">
        <f t="shared" ca="1" si="3"/>
        <v>#REF!</v>
      </c>
    </row>
    <row r="27" spans="1:9" s="18" customFormat="1" ht="18" customHeight="1">
      <c r="A27" s="198" t="e">
        <f ca="1">IF(ROWS($1:13)&gt;COUNT(Dong5),"",OFFSET(TH!C$1,SMALL(Dong5,ROWS($1:13)),))</f>
        <v>#REF!</v>
      </c>
      <c r="B27" s="198" t="e">
        <f ca="1">IF(ROWS($1:13)&gt;COUNT(Dong5),"",OFFSET(TH!D$1,SMALL(Dong5,ROWS($1:13)),))</f>
        <v>#REF!</v>
      </c>
      <c r="C27" s="198" t="e">
        <f ca="1">IF(ROWS($1:13)&gt;COUNT(Dong5),"",OFFSET(TH!E$1,SMALL(Dong5,ROWS($1:13)),))</f>
        <v>#REF!</v>
      </c>
      <c r="D27" s="244" t="e">
        <f ca="1">IF(ROWS($1:13)&gt;COUNT(Dong5),"",OFFSET(TH!F$1,SMALL(Dong5,ROWS($1:13)),))</f>
        <v>#REF!</v>
      </c>
      <c r="E27" s="198" t="e">
        <f ca="1">IF(ROWS($1:13)&gt;COUNT(Dong5),"",IF(OFFSET(TH!L$1,SMALL(Dong5,ROWS($1:13)),)=$E$7,OFFSET(TH!M$1,SMALL(Dong5,ROWS($1:13)),),OFFSET(TH!L$1,SMALL(Dong5,ROWS($1:13)),)))</f>
        <v>#REF!</v>
      </c>
      <c r="F27" s="245" t="e">
        <f ca="1">IF(ROWS($1:13)&gt;COUNT(Dong5),0,IF(OFFSET(TH!L$1,SMALL(Dong5,ROWS($1:13)),)=$E$7,OFFSET(TH!K$1,SMALL(Dong5,ROWS($1:13)),),0))</f>
        <v>#REF!</v>
      </c>
      <c r="G27" s="243" t="e">
        <f ca="1">IF(ROWS($1:13)&gt;COUNT(Dong5),0,IF(OFFSET(TH!M$1,SMALL(Dong5,ROWS($1:13)),)=$E$7,OFFSET(TH!K$1,SMALL(Dong5,ROWS($1:13)),),0))</f>
        <v>#REF!</v>
      </c>
      <c r="H27" s="246" t="e">
        <f t="shared" ca="1" si="2"/>
        <v>#REF!</v>
      </c>
      <c r="I27" s="246" t="e">
        <f t="shared" ca="1" si="3"/>
        <v>#REF!</v>
      </c>
    </row>
    <row r="28" spans="1:9" s="18" customFormat="1" ht="18" customHeight="1">
      <c r="A28" s="198" t="e">
        <f ca="1">IF(ROWS($1:14)&gt;COUNT(Dong5),"",OFFSET(TH!C$1,SMALL(Dong5,ROWS($1:14)),))</f>
        <v>#REF!</v>
      </c>
      <c r="B28" s="198" t="e">
        <f ca="1">IF(ROWS($1:14)&gt;COUNT(Dong5),"",OFFSET(TH!D$1,SMALL(Dong5,ROWS($1:14)),))</f>
        <v>#REF!</v>
      </c>
      <c r="C28" s="198" t="e">
        <f ca="1">IF(ROWS($1:14)&gt;COUNT(Dong5),"",OFFSET(TH!E$1,SMALL(Dong5,ROWS($1:14)),))</f>
        <v>#REF!</v>
      </c>
      <c r="D28" s="244" t="e">
        <f ca="1">IF(ROWS($1:14)&gt;COUNT(Dong5),"",OFFSET(TH!F$1,SMALL(Dong5,ROWS($1:14)),))</f>
        <v>#REF!</v>
      </c>
      <c r="E28" s="198" t="e">
        <f ca="1">IF(ROWS($1:14)&gt;COUNT(Dong5),"",IF(OFFSET(TH!L$1,SMALL(Dong5,ROWS($1:14)),)=$E$7,OFFSET(TH!M$1,SMALL(Dong5,ROWS($1:14)),),OFFSET(TH!L$1,SMALL(Dong5,ROWS($1:14)),)))</f>
        <v>#REF!</v>
      </c>
      <c r="F28" s="245" t="e">
        <f ca="1">IF(ROWS($1:14)&gt;COUNT(Dong5),0,IF(OFFSET(TH!L$1,SMALL(Dong5,ROWS($1:14)),)=$E$7,OFFSET(TH!K$1,SMALL(Dong5,ROWS($1:14)),),0))</f>
        <v>#REF!</v>
      </c>
      <c r="G28" s="243" t="e">
        <f ca="1">IF(ROWS($1:14)&gt;COUNT(Dong5),0,IF(OFFSET(TH!M$1,SMALL(Dong5,ROWS($1:14)),)=$E$7,OFFSET(TH!K$1,SMALL(Dong5,ROWS($1:14)),),0))</f>
        <v>#REF!</v>
      </c>
      <c r="H28" s="246" t="e">
        <f t="shared" ca="1" si="2"/>
        <v>#REF!</v>
      </c>
      <c r="I28" s="246" t="e">
        <f t="shared" ca="1" si="3"/>
        <v>#REF!</v>
      </c>
    </row>
    <row r="29" spans="1:9" s="18" customFormat="1" ht="18" customHeight="1">
      <c r="A29" s="198" t="e">
        <f ca="1">IF(ROWS($1:15)&gt;COUNT(Dong5),"",OFFSET(TH!C$1,SMALL(Dong5,ROWS($1:15)),))</f>
        <v>#REF!</v>
      </c>
      <c r="B29" s="198" t="e">
        <f ca="1">IF(ROWS($1:15)&gt;COUNT(Dong5),"",OFFSET(TH!D$1,SMALL(Dong5,ROWS($1:15)),))</f>
        <v>#REF!</v>
      </c>
      <c r="C29" s="198" t="e">
        <f ca="1">IF(ROWS($1:15)&gt;COUNT(Dong5),"",OFFSET(TH!E$1,SMALL(Dong5,ROWS($1:15)),))</f>
        <v>#REF!</v>
      </c>
      <c r="D29" s="244" t="e">
        <f ca="1">IF(ROWS($1:15)&gt;COUNT(Dong5),"",OFFSET(TH!F$1,SMALL(Dong5,ROWS($1:15)),))</f>
        <v>#REF!</v>
      </c>
      <c r="E29" s="198" t="e">
        <f ca="1">IF(ROWS($1:15)&gt;COUNT(Dong5),"",IF(OFFSET(TH!L$1,SMALL(Dong5,ROWS($1:15)),)=$E$7,OFFSET(TH!M$1,SMALL(Dong5,ROWS($1:15)),),OFFSET(TH!L$1,SMALL(Dong5,ROWS($1:15)),)))</f>
        <v>#REF!</v>
      </c>
      <c r="F29" s="245" t="e">
        <f ca="1">IF(ROWS($1:15)&gt;COUNT(Dong5),0,IF(OFFSET(TH!L$1,SMALL(Dong5,ROWS($1:15)),)=$E$7,OFFSET(TH!K$1,SMALL(Dong5,ROWS($1:15)),),0))</f>
        <v>#REF!</v>
      </c>
      <c r="G29" s="243" t="e">
        <f ca="1">IF(ROWS($1:15)&gt;COUNT(Dong5),0,IF(OFFSET(TH!M$1,SMALL(Dong5,ROWS($1:15)),)=$E$7,OFFSET(TH!K$1,SMALL(Dong5,ROWS($1:15)),),0))</f>
        <v>#REF!</v>
      </c>
      <c r="H29" s="246" t="e">
        <f t="shared" ca="1" si="2"/>
        <v>#REF!</v>
      </c>
      <c r="I29" s="246" t="e">
        <f t="shared" ca="1" si="3"/>
        <v>#REF!</v>
      </c>
    </row>
    <row r="30" spans="1:9" s="18" customFormat="1" ht="18" customHeight="1">
      <c r="A30" s="198" t="e">
        <f ca="1">IF(ROWS($1:16)&gt;COUNT(Dong5),"",OFFSET(TH!C$1,SMALL(Dong5,ROWS($1:16)),))</f>
        <v>#REF!</v>
      </c>
      <c r="B30" s="198" t="e">
        <f ca="1">IF(ROWS($1:16)&gt;COUNT(Dong5),"",OFFSET(TH!D$1,SMALL(Dong5,ROWS($1:16)),))</f>
        <v>#REF!</v>
      </c>
      <c r="C30" s="198" t="e">
        <f ca="1">IF(ROWS($1:16)&gt;COUNT(Dong5),"",OFFSET(TH!E$1,SMALL(Dong5,ROWS($1:16)),))</f>
        <v>#REF!</v>
      </c>
      <c r="D30" s="244" t="e">
        <f ca="1">IF(ROWS($1:16)&gt;COUNT(Dong5),"",OFFSET(TH!F$1,SMALL(Dong5,ROWS($1:16)),))</f>
        <v>#REF!</v>
      </c>
      <c r="E30" s="198" t="e">
        <f ca="1">IF(ROWS($1:16)&gt;COUNT(Dong5),"",IF(OFFSET(TH!L$1,SMALL(Dong5,ROWS($1:16)),)=$E$7,OFFSET(TH!M$1,SMALL(Dong5,ROWS($1:16)),),OFFSET(TH!L$1,SMALL(Dong5,ROWS($1:16)),)))</f>
        <v>#REF!</v>
      </c>
      <c r="F30" s="245" t="e">
        <f ca="1">IF(ROWS($1:16)&gt;COUNT(Dong5),0,IF(OFFSET(TH!L$1,SMALL(Dong5,ROWS($1:16)),)=$E$7,OFFSET(TH!K$1,SMALL(Dong5,ROWS($1:16)),),0))</f>
        <v>#REF!</v>
      </c>
      <c r="G30" s="243" t="e">
        <f ca="1">IF(ROWS($1:16)&gt;COUNT(Dong5),0,IF(OFFSET(TH!M$1,SMALL(Dong5,ROWS($1:16)),)=$E$7,OFFSET(TH!K$1,SMALL(Dong5,ROWS($1:16)),),0))</f>
        <v>#REF!</v>
      </c>
      <c r="H30" s="246" t="e">
        <f t="shared" ref="H30:H38" ca="1" si="4">IF(D30&lt;&gt;"",MAX(H29+F30-G30-I29,0),0)</f>
        <v>#REF!</v>
      </c>
      <c r="I30" s="246" t="e">
        <f t="shared" ref="I30:I38" ca="1" si="5">IF(D30&lt;&gt;"",MAX(I29+G30-H29-F30,0),0)</f>
        <v>#REF!</v>
      </c>
    </row>
    <row r="31" spans="1:9" s="18" customFormat="1" ht="18" customHeight="1">
      <c r="A31" s="198" t="e">
        <f ca="1">IF(ROWS($1:17)&gt;COUNT(Dong5),"",OFFSET(TH!C$1,SMALL(Dong5,ROWS($1:17)),))</f>
        <v>#REF!</v>
      </c>
      <c r="B31" s="198" t="e">
        <f ca="1">IF(ROWS($1:17)&gt;COUNT(Dong5),"",OFFSET(TH!D$1,SMALL(Dong5,ROWS($1:17)),))</f>
        <v>#REF!</v>
      </c>
      <c r="C31" s="198" t="e">
        <f ca="1">IF(ROWS($1:17)&gt;COUNT(Dong5),"",OFFSET(TH!E$1,SMALL(Dong5,ROWS($1:17)),))</f>
        <v>#REF!</v>
      </c>
      <c r="D31" s="244" t="e">
        <f ca="1">IF(ROWS($1:17)&gt;COUNT(Dong5),"",OFFSET(TH!F$1,SMALL(Dong5,ROWS($1:17)),))</f>
        <v>#REF!</v>
      </c>
      <c r="E31" s="198" t="e">
        <f ca="1">IF(ROWS($1:17)&gt;COUNT(Dong5),"",IF(OFFSET(TH!L$1,SMALL(Dong5,ROWS($1:17)),)=$E$7,OFFSET(TH!M$1,SMALL(Dong5,ROWS($1:17)),),OFFSET(TH!L$1,SMALL(Dong5,ROWS($1:17)),)))</f>
        <v>#REF!</v>
      </c>
      <c r="F31" s="245" t="e">
        <f ca="1">IF(ROWS($1:17)&gt;COUNT(Dong5),0,IF(OFFSET(TH!L$1,SMALL(Dong5,ROWS($1:17)),)=$E$7,OFFSET(TH!K$1,SMALL(Dong5,ROWS($1:17)),),0))</f>
        <v>#REF!</v>
      </c>
      <c r="G31" s="243" t="e">
        <f ca="1">IF(ROWS($1:17)&gt;COUNT(Dong5),0,IF(OFFSET(TH!M$1,SMALL(Dong5,ROWS($1:17)),)=$E$7,OFFSET(TH!K$1,SMALL(Dong5,ROWS($1:17)),),0))</f>
        <v>#REF!</v>
      </c>
      <c r="H31" s="246" t="e">
        <f t="shared" ca="1" si="4"/>
        <v>#REF!</v>
      </c>
      <c r="I31" s="246" t="e">
        <f t="shared" ca="1" si="5"/>
        <v>#REF!</v>
      </c>
    </row>
    <row r="32" spans="1:9" s="18" customFormat="1" ht="18" customHeight="1">
      <c r="A32" s="198" t="e">
        <f ca="1">IF(ROWS($1:18)&gt;COUNT(Dong5),"",OFFSET(TH!C$1,SMALL(Dong5,ROWS($1:18)),))</f>
        <v>#REF!</v>
      </c>
      <c r="B32" s="198" t="e">
        <f ca="1">IF(ROWS($1:18)&gt;COUNT(Dong5),"",OFFSET(TH!D$1,SMALL(Dong5,ROWS($1:18)),))</f>
        <v>#REF!</v>
      </c>
      <c r="C32" s="198" t="e">
        <f ca="1">IF(ROWS($1:18)&gt;COUNT(Dong5),"",OFFSET(TH!E$1,SMALL(Dong5,ROWS($1:18)),))</f>
        <v>#REF!</v>
      </c>
      <c r="D32" s="244" t="e">
        <f ca="1">IF(ROWS($1:18)&gt;COUNT(Dong5),"",OFFSET(TH!F$1,SMALL(Dong5,ROWS($1:18)),))</f>
        <v>#REF!</v>
      </c>
      <c r="E32" s="198" t="e">
        <f ca="1">IF(ROWS($1:18)&gt;COUNT(Dong5),"",IF(OFFSET(TH!L$1,SMALL(Dong5,ROWS($1:18)),)=$E$7,OFFSET(TH!M$1,SMALL(Dong5,ROWS($1:18)),),OFFSET(TH!L$1,SMALL(Dong5,ROWS($1:18)),)))</f>
        <v>#REF!</v>
      </c>
      <c r="F32" s="245" t="e">
        <f ca="1">IF(ROWS($1:18)&gt;COUNT(Dong5),0,IF(OFFSET(TH!L$1,SMALL(Dong5,ROWS($1:18)),)=$E$7,OFFSET(TH!K$1,SMALL(Dong5,ROWS($1:18)),),0))</f>
        <v>#REF!</v>
      </c>
      <c r="G32" s="243" t="e">
        <f ca="1">IF(ROWS($1:18)&gt;COUNT(Dong5),0,IF(OFFSET(TH!M$1,SMALL(Dong5,ROWS($1:18)),)=$E$7,OFFSET(TH!K$1,SMALL(Dong5,ROWS($1:18)),),0))</f>
        <v>#REF!</v>
      </c>
      <c r="H32" s="246" t="e">
        <f t="shared" ca="1" si="4"/>
        <v>#REF!</v>
      </c>
      <c r="I32" s="246" t="e">
        <f t="shared" ca="1" si="5"/>
        <v>#REF!</v>
      </c>
    </row>
    <row r="33" spans="1:9" s="18" customFormat="1" ht="18" customHeight="1">
      <c r="A33" s="198" t="e">
        <f ca="1">IF(ROWS($1:19)&gt;COUNT(Dong5),"",OFFSET(TH!C$1,SMALL(Dong5,ROWS($1:19)),))</f>
        <v>#REF!</v>
      </c>
      <c r="B33" s="198" t="e">
        <f ca="1">IF(ROWS($1:19)&gt;COUNT(Dong5),"",OFFSET(TH!D$1,SMALL(Dong5,ROWS($1:19)),))</f>
        <v>#REF!</v>
      </c>
      <c r="C33" s="198" t="e">
        <f ca="1">IF(ROWS($1:19)&gt;COUNT(Dong5),"",OFFSET(TH!E$1,SMALL(Dong5,ROWS($1:19)),))</f>
        <v>#REF!</v>
      </c>
      <c r="D33" s="244" t="e">
        <f ca="1">IF(ROWS($1:19)&gt;COUNT(Dong5),"",OFFSET(TH!F$1,SMALL(Dong5,ROWS($1:19)),))</f>
        <v>#REF!</v>
      </c>
      <c r="E33" s="198" t="e">
        <f ca="1">IF(ROWS($1:19)&gt;COUNT(Dong5),"",IF(OFFSET(TH!L$1,SMALL(Dong5,ROWS($1:19)),)=$E$7,OFFSET(TH!M$1,SMALL(Dong5,ROWS($1:19)),),OFFSET(TH!L$1,SMALL(Dong5,ROWS($1:19)),)))</f>
        <v>#REF!</v>
      </c>
      <c r="F33" s="245" t="e">
        <f ca="1">IF(ROWS($1:19)&gt;COUNT(Dong5),0,IF(OFFSET(TH!L$1,SMALL(Dong5,ROWS($1:19)),)=$E$7,OFFSET(TH!K$1,SMALL(Dong5,ROWS($1:19)),),0))</f>
        <v>#REF!</v>
      </c>
      <c r="G33" s="243" t="e">
        <f ca="1">IF(ROWS($1:19)&gt;COUNT(Dong5),0,IF(OFFSET(TH!M$1,SMALL(Dong5,ROWS($1:19)),)=$E$7,OFFSET(TH!K$1,SMALL(Dong5,ROWS($1:19)),),0))</f>
        <v>#REF!</v>
      </c>
      <c r="H33" s="246" t="e">
        <f t="shared" ca="1" si="4"/>
        <v>#REF!</v>
      </c>
      <c r="I33" s="246" t="e">
        <f t="shared" ca="1" si="5"/>
        <v>#REF!</v>
      </c>
    </row>
    <row r="34" spans="1:9" s="18" customFormat="1" ht="18" customHeight="1">
      <c r="A34" s="198" t="e">
        <f ca="1">IF(ROWS($1:20)&gt;COUNT(Dong5),"",OFFSET(TH!C$1,SMALL(Dong5,ROWS($1:20)),))</f>
        <v>#REF!</v>
      </c>
      <c r="B34" s="198" t="e">
        <f ca="1">IF(ROWS($1:20)&gt;COUNT(Dong5),"",OFFSET(TH!D$1,SMALL(Dong5,ROWS($1:20)),))</f>
        <v>#REF!</v>
      </c>
      <c r="C34" s="198" t="e">
        <f ca="1">IF(ROWS($1:20)&gt;COUNT(Dong5),"",OFFSET(TH!E$1,SMALL(Dong5,ROWS($1:20)),))</f>
        <v>#REF!</v>
      </c>
      <c r="D34" s="244" t="e">
        <f ca="1">IF(ROWS($1:20)&gt;COUNT(Dong5),"",OFFSET(TH!F$1,SMALL(Dong5,ROWS($1:20)),))</f>
        <v>#REF!</v>
      </c>
      <c r="E34" s="198" t="e">
        <f ca="1">IF(ROWS($1:20)&gt;COUNT(Dong5),"",IF(OFFSET(TH!L$1,SMALL(Dong5,ROWS($1:20)),)=$E$7,OFFSET(TH!M$1,SMALL(Dong5,ROWS($1:20)),),OFFSET(TH!L$1,SMALL(Dong5,ROWS($1:20)),)))</f>
        <v>#REF!</v>
      </c>
      <c r="F34" s="245" t="e">
        <f ca="1">IF(ROWS($1:20)&gt;COUNT(Dong5),0,IF(OFFSET(TH!L$1,SMALL(Dong5,ROWS($1:20)),)=$E$7,OFFSET(TH!K$1,SMALL(Dong5,ROWS($1:20)),),0))</f>
        <v>#REF!</v>
      </c>
      <c r="G34" s="243" t="e">
        <f ca="1">IF(ROWS($1:20)&gt;COUNT(Dong5),0,IF(OFFSET(TH!M$1,SMALL(Dong5,ROWS($1:20)),)=$E$7,OFFSET(TH!K$1,SMALL(Dong5,ROWS($1:20)),),0))</f>
        <v>#REF!</v>
      </c>
      <c r="H34" s="246" t="e">
        <f t="shared" ca="1" si="4"/>
        <v>#REF!</v>
      </c>
      <c r="I34" s="246" t="e">
        <f t="shared" ca="1" si="5"/>
        <v>#REF!</v>
      </c>
    </row>
    <row r="35" spans="1:9" s="18" customFormat="1" ht="18" customHeight="1">
      <c r="A35" s="198" t="e">
        <f ca="1">IF(ROWS($1:21)&gt;COUNT(Dong5),"",OFFSET(TH!C$1,SMALL(Dong5,ROWS($1:21)),))</f>
        <v>#REF!</v>
      </c>
      <c r="B35" s="198" t="e">
        <f ca="1">IF(ROWS($1:21)&gt;COUNT(Dong5),"",OFFSET(TH!D$1,SMALL(Dong5,ROWS($1:21)),))</f>
        <v>#REF!</v>
      </c>
      <c r="C35" s="198" t="e">
        <f ca="1">IF(ROWS($1:21)&gt;COUNT(Dong5),"",OFFSET(TH!E$1,SMALL(Dong5,ROWS($1:21)),))</f>
        <v>#REF!</v>
      </c>
      <c r="D35" s="244" t="e">
        <f ca="1">IF(ROWS($1:21)&gt;COUNT(Dong5),"",OFFSET(TH!F$1,SMALL(Dong5,ROWS($1:21)),))</f>
        <v>#REF!</v>
      </c>
      <c r="E35" s="198" t="e">
        <f ca="1">IF(ROWS($1:21)&gt;COUNT(Dong5),"",IF(OFFSET(TH!L$1,SMALL(Dong5,ROWS($1:21)),)=$E$7,OFFSET(TH!M$1,SMALL(Dong5,ROWS($1:21)),),OFFSET(TH!L$1,SMALL(Dong5,ROWS($1:21)),)))</f>
        <v>#REF!</v>
      </c>
      <c r="F35" s="245" t="e">
        <f ca="1">IF(ROWS($1:21)&gt;COUNT(Dong5),0,IF(OFFSET(TH!L$1,SMALL(Dong5,ROWS($1:21)),)=$E$7,OFFSET(TH!K$1,SMALL(Dong5,ROWS($1:21)),),0))</f>
        <v>#REF!</v>
      </c>
      <c r="G35" s="243" t="e">
        <f ca="1">IF(ROWS($1:21)&gt;COUNT(Dong5),0,IF(OFFSET(TH!M$1,SMALL(Dong5,ROWS($1:21)),)=$E$7,OFFSET(TH!K$1,SMALL(Dong5,ROWS($1:21)),),0))</f>
        <v>#REF!</v>
      </c>
      <c r="H35" s="246" t="e">
        <f t="shared" ca="1" si="4"/>
        <v>#REF!</v>
      </c>
      <c r="I35" s="246" t="e">
        <f t="shared" ca="1" si="5"/>
        <v>#REF!</v>
      </c>
    </row>
    <row r="36" spans="1:9" s="18" customFormat="1" ht="18" customHeight="1">
      <c r="A36" s="198" t="e">
        <f ca="1">IF(ROWS($1:22)&gt;COUNT(Dong5),"",OFFSET(TH!C$1,SMALL(Dong5,ROWS($1:22)),))</f>
        <v>#REF!</v>
      </c>
      <c r="B36" s="198" t="e">
        <f ca="1">IF(ROWS($1:22)&gt;COUNT(Dong5),"",OFFSET(TH!D$1,SMALL(Dong5,ROWS($1:22)),))</f>
        <v>#REF!</v>
      </c>
      <c r="C36" s="198" t="e">
        <f ca="1">IF(ROWS($1:22)&gt;COUNT(Dong5),"",OFFSET(TH!E$1,SMALL(Dong5,ROWS($1:22)),))</f>
        <v>#REF!</v>
      </c>
      <c r="D36" s="244" t="e">
        <f ca="1">IF(ROWS($1:22)&gt;COUNT(Dong5),"",OFFSET(TH!F$1,SMALL(Dong5,ROWS($1:22)),))</f>
        <v>#REF!</v>
      </c>
      <c r="E36" s="198" t="e">
        <f ca="1">IF(ROWS($1:22)&gt;COUNT(Dong5),"",IF(OFFSET(TH!L$1,SMALL(Dong5,ROWS($1:22)),)=$E$7,OFFSET(TH!M$1,SMALL(Dong5,ROWS($1:22)),),OFFSET(TH!L$1,SMALL(Dong5,ROWS($1:22)),)))</f>
        <v>#REF!</v>
      </c>
      <c r="F36" s="245" t="e">
        <f ca="1">IF(ROWS($1:22)&gt;COUNT(Dong5),0,IF(OFFSET(TH!L$1,SMALL(Dong5,ROWS($1:22)),)=$E$7,OFFSET(TH!K$1,SMALL(Dong5,ROWS($1:22)),),0))</f>
        <v>#REF!</v>
      </c>
      <c r="G36" s="243" t="e">
        <f ca="1">IF(ROWS($1:22)&gt;COUNT(Dong5),0,IF(OFFSET(TH!M$1,SMALL(Dong5,ROWS($1:22)),)=$E$7,OFFSET(TH!K$1,SMALL(Dong5,ROWS($1:22)),),0))</f>
        <v>#REF!</v>
      </c>
      <c r="H36" s="246" t="e">
        <f t="shared" ca="1" si="4"/>
        <v>#REF!</v>
      </c>
      <c r="I36" s="246" t="e">
        <f t="shared" ca="1" si="5"/>
        <v>#REF!</v>
      </c>
    </row>
    <row r="37" spans="1:9" s="18" customFormat="1" ht="18" customHeight="1">
      <c r="A37" s="198" t="e">
        <f ca="1">IF(ROWS($1:23)&gt;COUNT(Dong5),"",OFFSET(TH!C$1,SMALL(Dong5,ROWS($1:23)),))</f>
        <v>#REF!</v>
      </c>
      <c r="B37" s="198" t="e">
        <f ca="1">IF(ROWS($1:23)&gt;COUNT(Dong5),"",OFFSET(TH!D$1,SMALL(Dong5,ROWS($1:23)),))</f>
        <v>#REF!</v>
      </c>
      <c r="C37" s="198" t="e">
        <f ca="1">IF(ROWS($1:23)&gt;COUNT(Dong5),"",OFFSET(TH!E$1,SMALL(Dong5,ROWS($1:23)),))</f>
        <v>#REF!</v>
      </c>
      <c r="D37" s="244" t="e">
        <f ca="1">IF(ROWS($1:23)&gt;COUNT(Dong5),"",OFFSET(TH!F$1,SMALL(Dong5,ROWS($1:23)),))</f>
        <v>#REF!</v>
      </c>
      <c r="E37" s="198" t="e">
        <f ca="1">IF(ROWS($1:23)&gt;COUNT(Dong5),"",IF(OFFSET(TH!L$1,SMALL(Dong5,ROWS($1:23)),)=$E$7,OFFSET(TH!M$1,SMALL(Dong5,ROWS($1:23)),),OFFSET(TH!L$1,SMALL(Dong5,ROWS($1:23)),)))</f>
        <v>#REF!</v>
      </c>
      <c r="F37" s="245" t="e">
        <f ca="1">IF(ROWS($1:23)&gt;COUNT(Dong5),0,IF(OFFSET(TH!L$1,SMALL(Dong5,ROWS($1:23)),)=$E$7,OFFSET(TH!K$1,SMALL(Dong5,ROWS($1:23)),),0))</f>
        <v>#REF!</v>
      </c>
      <c r="G37" s="243" t="e">
        <f ca="1">IF(ROWS($1:23)&gt;COUNT(Dong5),0,IF(OFFSET(TH!M$1,SMALL(Dong5,ROWS($1:23)),)=$E$7,OFFSET(TH!K$1,SMALL(Dong5,ROWS($1:23)),),0))</f>
        <v>#REF!</v>
      </c>
      <c r="H37" s="246" t="e">
        <f t="shared" ca="1" si="4"/>
        <v>#REF!</v>
      </c>
      <c r="I37" s="246" t="e">
        <f t="shared" ca="1" si="5"/>
        <v>#REF!</v>
      </c>
    </row>
    <row r="38" spans="1:9" s="18" customFormat="1" ht="18" customHeight="1">
      <c r="A38" s="198" t="e">
        <f ca="1">IF(ROWS($1:24)&gt;COUNT(Dong5),"",OFFSET(TH!C$1,SMALL(Dong5,ROWS($1:24)),))</f>
        <v>#REF!</v>
      </c>
      <c r="B38" s="198" t="e">
        <f ca="1">IF(ROWS($1:24)&gt;COUNT(Dong5),"",OFFSET(TH!D$1,SMALL(Dong5,ROWS($1:24)),))</f>
        <v>#REF!</v>
      </c>
      <c r="C38" s="198" t="e">
        <f ca="1">IF(ROWS($1:24)&gt;COUNT(Dong5),"",OFFSET(TH!E$1,SMALL(Dong5,ROWS($1:24)),))</f>
        <v>#REF!</v>
      </c>
      <c r="D38" s="244" t="e">
        <f ca="1">IF(ROWS($1:24)&gt;COUNT(Dong5),"",OFFSET(TH!F$1,SMALL(Dong5,ROWS($1:24)),))</f>
        <v>#REF!</v>
      </c>
      <c r="E38" s="198" t="e">
        <f ca="1">IF(ROWS($1:24)&gt;COUNT(Dong5),"",IF(OFFSET(TH!L$1,SMALL(Dong5,ROWS($1:24)),)=$E$7,OFFSET(TH!M$1,SMALL(Dong5,ROWS($1:24)),),OFFSET(TH!L$1,SMALL(Dong5,ROWS($1:24)),)))</f>
        <v>#REF!</v>
      </c>
      <c r="F38" s="245" t="e">
        <f ca="1">IF(ROWS($1:24)&gt;COUNT(Dong5),0,IF(OFFSET(TH!L$1,SMALL(Dong5,ROWS($1:24)),)=$E$7,OFFSET(TH!K$1,SMALL(Dong5,ROWS($1:24)),),0))</f>
        <v>#REF!</v>
      </c>
      <c r="G38" s="243" t="e">
        <f ca="1">IF(ROWS($1:24)&gt;COUNT(Dong5),0,IF(OFFSET(TH!M$1,SMALL(Dong5,ROWS($1:24)),)=$E$7,OFFSET(TH!K$1,SMALL(Dong5,ROWS($1:24)),),0))</f>
        <v>#REF!</v>
      </c>
      <c r="H38" s="246" t="e">
        <f t="shared" ca="1" si="4"/>
        <v>#REF!</v>
      </c>
      <c r="I38" s="246" t="e">
        <f t="shared" ca="1" si="5"/>
        <v>#REF!</v>
      </c>
    </row>
    <row r="39" spans="1:9" s="18" customFormat="1" ht="18" customHeight="1">
      <c r="A39" s="198" t="e">
        <f ca="1">IF(ROWS($1:25)&gt;COUNT(Dong5),"",OFFSET(TH!C$1,SMALL(Dong5,ROWS($1:25)),))</f>
        <v>#REF!</v>
      </c>
      <c r="B39" s="198" t="e">
        <f ca="1">IF(ROWS($1:25)&gt;COUNT(Dong5),"",OFFSET(TH!D$1,SMALL(Dong5,ROWS($1:25)),))</f>
        <v>#REF!</v>
      </c>
      <c r="C39" s="198" t="e">
        <f ca="1">IF(ROWS($1:25)&gt;COUNT(Dong5),"",OFFSET(TH!E$1,SMALL(Dong5,ROWS($1:25)),))</f>
        <v>#REF!</v>
      </c>
      <c r="D39" s="244" t="e">
        <f ca="1">IF(ROWS($1:25)&gt;COUNT(Dong5),"",OFFSET(TH!F$1,SMALL(Dong5,ROWS($1:25)),))</f>
        <v>#REF!</v>
      </c>
      <c r="E39" s="198" t="e">
        <f ca="1">IF(ROWS($1:25)&gt;COUNT(Dong5),"",IF(OFFSET(TH!L$1,SMALL(Dong5,ROWS($1:25)),)=$E$7,OFFSET(TH!M$1,SMALL(Dong5,ROWS($1:25)),),OFFSET(TH!L$1,SMALL(Dong5,ROWS($1:25)),)))</f>
        <v>#REF!</v>
      </c>
      <c r="F39" s="245" t="e">
        <f ca="1">IF(ROWS($1:25)&gt;COUNT(Dong5),0,IF(OFFSET(TH!L$1,SMALL(Dong5,ROWS($1:25)),)=$E$7,OFFSET(TH!K$1,SMALL(Dong5,ROWS($1:25)),),0))</f>
        <v>#REF!</v>
      </c>
      <c r="G39" s="243" t="e">
        <f ca="1">IF(ROWS($1:25)&gt;COUNT(Dong5),0,IF(OFFSET(TH!M$1,SMALL(Dong5,ROWS($1:25)),)=$E$7,OFFSET(TH!K$1,SMALL(Dong5,ROWS($1:25)),),0))</f>
        <v>#REF!</v>
      </c>
      <c r="H39" s="246" t="e">
        <f t="shared" ref="H39:H60" ca="1" si="6">IF(D39&lt;&gt;"",MAX(H38+F39-G39-I38,0),0)</f>
        <v>#REF!</v>
      </c>
      <c r="I39" s="246" t="e">
        <f t="shared" ref="I39:I60" ca="1" si="7">IF(D39&lt;&gt;"",MAX(I38+G39-H38-F39,0),0)</f>
        <v>#REF!</v>
      </c>
    </row>
    <row r="40" spans="1:9" s="18" customFormat="1" ht="18" customHeight="1">
      <c r="A40" s="198" t="e">
        <f ca="1">IF(ROWS($1:26)&gt;COUNT(Dong5),"",OFFSET(TH!C$1,SMALL(Dong5,ROWS($1:26)),))</f>
        <v>#REF!</v>
      </c>
      <c r="B40" s="198" t="e">
        <f ca="1">IF(ROWS($1:26)&gt;COUNT(Dong5),"",OFFSET(TH!D$1,SMALL(Dong5,ROWS($1:26)),))</f>
        <v>#REF!</v>
      </c>
      <c r="C40" s="198" t="e">
        <f ca="1">IF(ROWS($1:26)&gt;COUNT(Dong5),"",OFFSET(TH!E$1,SMALL(Dong5,ROWS($1:26)),))</f>
        <v>#REF!</v>
      </c>
      <c r="D40" s="244" t="e">
        <f ca="1">IF(ROWS($1:26)&gt;COUNT(Dong5),"",OFFSET(TH!F$1,SMALL(Dong5,ROWS($1:26)),))</f>
        <v>#REF!</v>
      </c>
      <c r="E40" s="198" t="e">
        <f ca="1">IF(ROWS($1:26)&gt;COUNT(Dong5),"",IF(OFFSET(TH!L$1,SMALL(Dong5,ROWS($1:26)),)=$E$7,OFFSET(TH!M$1,SMALL(Dong5,ROWS($1:26)),),OFFSET(TH!L$1,SMALL(Dong5,ROWS($1:26)),)))</f>
        <v>#REF!</v>
      </c>
      <c r="F40" s="245" t="e">
        <f ca="1">IF(ROWS($1:26)&gt;COUNT(Dong5),0,IF(OFFSET(TH!L$1,SMALL(Dong5,ROWS($1:26)),)=$E$7,OFFSET(TH!K$1,SMALL(Dong5,ROWS($1:26)),),0))</f>
        <v>#REF!</v>
      </c>
      <c r="G40" s="243" t="e">
        <f ca="1">IF(ROWS($1:26)&gt;COUNT(Dong5),0,IF(OFFSET(TH!M$1,SMALL(Dong5,ROWS($1:26)),)=$E$7,OFFSET(TH!K$1,SMALL(Dong5,ROWS($1:26)),),0))</f>
        <v>#REF!</v>
      </c>
      <c r="H40" s="246" t="e">
        <f t="shared" ca="1" si="6"/>
        <v>#REF!</v>
      </c>
      <c r="I40" s="246" t="e">
        <f t="shared" ca="1" si="7"/>
        <v>#REF!</v>
      </c>
    </row>
    <row r="41" spans="1:9" s="18" customFormat="1" ht="18" customHeight="1">
      <c r="A41" s="198" t="e">
        <f ca="1">IF(ROWS($1:27)&gt;COUNT(Dong5),"",OFFSET(TH!C$1,SMALL(Dong5,ROWS($1:27)),))</f>
        <v>#REF!</v>
      </c>
      <c r="B41" s="198" t="e">
        <f ca="1">IF(ROWS($1:27)&gt;COUNT(Dong5),"",OFFSET(TH!D$1,SMALL(Dong5,ROWS($1:27)),))</f>
        <v>#REF!</v>
      </c>
      <c r="C41" s="198" t="e">
        <f ca="1">IF(ROWS($1:27)&gt;COUNT(Dong5),"",OFFSET(TH!E$1,SMALL(Dong5,ROWS($1:27)),))</f>
        <v>#REF!</v>
      </c>
      <c r="D41" s="244" t="e">
        <f ca="1">IF(ROWS($1:27)&gt;COUNT(Dong5),"",OFFSET(TH!F$1,SMALL(Dong5,ROWS($1:27)),))</f>
        <v>#REF!</v>
      </c>
      <c r="E41" s="198" t="e">
        <f ca="1">IF(ROWS($1:27)&gt;COUNT(Dong5),"",IF(OFFSET(TH!L$1,SMALL(Dong5,ROWS($1:27)),)=$E$7,OFFSET(TH!M$1,SMALL(Dong5,ROWS($1:27)),),OFFSET(TH!L$1,SMALL(Dong5,ROWS($1:27)),)))</f>
        <v>#REF!</v>
      </c>
      <c r="F41" s="245" t="e">
        <f ca="1">IF(ROWS($1:27)&gt;COUNT(Dong5),0,IF(OFFSET(TH!L$1,SMALL(Dong5,ROWS($1:27)),)=$E$7,OFFSET(TH!K$1,SMALL(Dong5,ROWS($1:27)),),0))</f>
        <v>#REF!</v>
      </c>
      <c r="G41" s="243" t="e">
        <f ca="1">IF(ROWS($1:27)&gt;COUNT(Dong5),0,IF(OFFSET(TH!M$1,SMALL(Dong5,ROWS($1:27)),)=$E$7,OFFSET(TH!K$1,SMALL(Dong5,ROWS($1:27)),),0))</f>
        <v>#REF!</v>
      </c>
      <c r="H41" s="246" t="e">
        <f t="shared" ca="1" si="6"/>
        <v>#REF!</v>
      </c>
      <c r="I41" s="246" t="e">
        <f t="shared" ca="1" si="7"/>
        <v>#REF!</v>
      </c>
    </row>
    <row r="42" spans="1:9" s="18" customFormat="1" ht="18" customHeight="1">
      <c r="A42" s="198" t="e">
        <f ca="1">IF(ROWS($1:28)&gt;COUNT(Dong5),"",OFFSET(TH!C$1,SMALL(Dong5,ROWS($1:28)),))</f>
        <v>#REF!</v>
      </c>
      <c r="B42" s="198" t="e">
        <f ca="1">IF(ROWS($1:28)&gt;COUNT(Dong5),"",OFFSET(TH!D$1,SMALL(Dong5,ROWS($1:28)),))</f>
        <v>#REF!</v>
      </c>
      <c r="C42" s="198" t="e">
        <f ca="1">IF(ROWS($1:28)&gt;COUNT(Dong5),"",OFFSET(TH!E$1,SMALL(Dong5,ROWS($1:28)),))</f>
        <v>#REF!</v>
      </c>
      <c r="D42" s="244" t="e">
        <f ca="1">IF(ROWS($1:28)&gt;COUNT(Dong5),"",OFFSET(TH!F$1,SMALL(Dong5,ROWS($1:28)),))</f>
        <v>#REF!</v>
      </c>
      <c r="E42" s="198" t="e">
        <f ca="1">IF(ROWS($1:28)&gt;COUNT(Dong5),"",IF(OFFSET(TH!L$1,SMALL(Dong5,ROWS($1:28)),)=$E$7,OFFSET(TH!M$1,SMALL(Dong5,ROWS($1:28)),),OFFSET(TH!L$1,SMALL(Dong5,ROWS($1:28)),)))</f>
        <v>#REF!</v>
      </c>
      <c r="F42" s="245" t="e">
        <f ca="1">IF(ROWS($1:28)&gt;COUNT(Dong5),0,IF(OFFSET(TH!L$1,SMALL(Dong5,ROWS($1:28)),)=$E$7,OFFSET(TH!K$1,SMALL(Dong5,ROWS($1:28)),),0))</f>
        <v>#REF!</v>
      </c>
      <c r="G42" s="243" t="e">
        <f ca="1">IF(ROWS($1:28)&gt;COUNT(Dong5),0,IF(OFFSET(TH!M$1,SMALL(Dong5,ROWS($1:28)),)=$E$7,OFFSET(TH!K$1,SMALL(Dong5,ROWS($1:28)),),0))</f>
        <v>#REF!</v>
      </c>
      <c r="H42" s="246" t="e">
        <f t="shared" ca="1" si="6"/>
        <v>#REF!</v>
      </c>
      <c r="I42" s="246" t="e">
        <f t="shared" ca="1" si="7"/>
        <v>#REF!</v>
      </c>
    </row>
    <row r="43" spans="1:9" s="18" customFormat="1" ht="18" customHeight="1">
      <c r="A43" s="198" t="e">
        <f ca="1">IF(ROWS($1:29)&gt;COUNT(Dong5),"",OFFSET(TH!C$1,SMALL(Dong5,ROWS($1:29)),))</f>
        <v>#REF!</v>
      </c>
      <c r="B43" s="198" t="e">
        <f ca="1">IF(ROWS($1:29)&gt;COUNT(Dong5),"",OFFSET(TH!D$1,SMALL(Dong5,ROWS($1:29)),))</f>
        <v>#REF!</v>
      </c>
      <c r="C43" s="198" t="e">
        <f ca="1">IF(ROWS($1:29)&gt;COUNT(Dong5),"",OFFSET(TH!E$1,SMALL(Dong5,ROWS($1:29)),))</f>
        <v>#REF!</v>
      </c>
      <c r="D43" s="244" t="e">
        <f ca="1">IF(ROWS($1:29)&gt;COUNT(Dong5),"",OFFSET(TH!F$1,SMALL(Dong5,ROWS($1:29)),))</f>
        <v>#REF!</v>
      </c>
      <c r="E43" s="198" t="e">
        <f ca="1">IF(ROWS($1:29)&gt;COUNT(Dong5),"",IF(OFFSET(TH!L$1,SMALL(Dong5,ROWS($1:29)),)=$E$7,OFFSET(TH!M$1,SMALL(Dong5,ROWS($1:29)),),OFFSET(TH!L$1,SMALL(Dong5,ROWS($1:29)),)))</f>
        <v>#REF!</v>
      </c>
      <c r="F43" s="245" t="e">
        <f ca="1">IF(ROWS($1:29)&gt;COUNT(Dong5),0,IF(OFFSET(TH!L$1,SMALL(Dong5,ROWS($1:29)),)=$E$7,OFFSET(TH!K$1,SMALL(Dong5,ROWS($1:29)),),0))</f>
        <v>#REF!</v>
      </c>
      <c r="G43" s="243" t="e">
        <f ca="1">IF(ROWS($1:29)&gt;COUNT(Dong5),0,IF(OFFSET(TH!M$1,SMALL(Dong5,ROWS($1:29)),)=$E$7,OFFSET(TH!K$1,SMALL(Dong5,ROWS($1:29)),),0))</f>
        <v>#REF!</v>
      </c>
      <c r="H43" s="246" t="e">
        <f t="shared" ca="1" si="6"/>
        <v>#REF!</v>
      </c>
      <c r="I43" s="246" t="e">
        <f t="shared" ca="1" si="7"/>
        <v>#REF!</v>
      </c>
    </row>
    <row r="44" spans="1:9" s="18" customFormat="1" ht="18" customHeight="1">
      <c r="A44" s="198" t="str">
        <f ca="1">IF(ROWS($1:30)&gt;COUNT(Dong5),"",OFFSET(TH!C$1,SMALL(Dong5,ROWS($1:30)),))</f>
        <v/>
      </c>
      <c r="B44" s="198" t="str">
        <f ca="1">IF(ROWS($1:30)&gt;COUNT(Dong5),"",OFFSET(TH!D$1,SMALL(Dong5,ROWS($1:30)),))</f>
        <v/>
      </c>
      <c r="C44" s="198" t="str">
        <f ca="1">IF(ROWS($1:30)&gt;COUNT(Dong5),"",OFFSET(TH!E$1,SMALL(Dong5,ROWS($1:30)),))</f>
        <v/>
      </c>
      <c r="D44" s="244" t="str">
        <f ca="1">IF(ROWS($1:30)&gt;COUNT(Dong5),"",OFFSET(TH!F$1,SMALL(Dong5,ROWS($1:30)),))</f>
        <v/>
      </c>
      <c r="E44" s="198" t="str">
        <f ca="1">IF(ROWS($1:30)&gt;COUNT(Dong5),"",IF(OFFSET(TH!L$1,SMALL(Dong5,ROWS($1:30)),)=$E$7,OFFSET(TH!M$1,SMALL(Dong5,ROWS($1:30)),),OFFSET(TH!L$1,SMALL(Dong5,ROWS($1:30)),)))</f>
        <v/>
      </c>
      <c r="F44" s="245">
        <f ca="1">IF(ROWS($1:30)&gt;COUNT(Dong5),0,IF(OFFSET(TH!L$1,SMALL(Dong5,ROWS($1:30)),)=$E$7,OFFSET(TH!K$1,SMALL(Dong5,ROWS($1:30)),),0))</f>
        <v>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0</v>
      </c>
    </row>
    <row r="45" spans="1:9" s="18" customFormat="1" ht="18" customHeight="1">
      <c r="A45" s="198" t="str">
        <f ca="1">IF(ROWS($1:31)&gt;COUNT(Dong5),"",OFFSET(TH!C$1,SMALL(Dong5,ROWS($1:31)),))</f>
        <v/>
      </c>
      <c r="B45" s="198" t="str">
        <f ca="1">IF(ROWS($1:31)&gt;COUNT(Dong5),"",OFFSET(TH!D$1,SMALL(Dong5,ROWS($1:31)),))</f>
        <v/>
      </c>
      <c r="C45" s="198" t="str">
        <f ca="1">IF(ROWS($1:31)&gt;COUNT(Dong5),"",OFFSET(TH!E$1,SMALL(Dong5,ROWS($1:31)),))</f>
        <v/>
      </c>
      <c r="D45" s="244" t="str">
        <f ca="1">IF(ROWS($1:31)&gt;COUNT(Dong5),"",OFFSET(TH!F$1,SMALL(Dong5,ROWS($1:31)),))</f>
        <v/>
      </c>
      <c r="E45" s="198" t="str">
        <f ca="1">IF(ROWS($1:31)&gt;COUNT(Dong5),"",IF(OFFSET(TH!L$1,SMALL(Dong5,ROWS($1:31)),)=$E$7,OFFSET(TH!M$1,SMALL(Dong5,ROWS($1:31)),),OFFSET(TH!L$1,SMALL(Dong5,ROWS($1:31)),)))</f>
        <v/>
      </c>
      <c r="F45" s="245">
        <f ca="1">IF(ROWS($1:31)&gt;COUNT(Dong5),0,IF(OFFSET(TH!L$1,SMALL(Dong5,ROWS($1:31)),)=$E$7,OFFSET(TH!K$1,SMALL(Dong5,ROWS($1:31)),),0))</f>
        <v>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0</v>
      </c>
    </row>
    <row r="46" spans="1:9" s="18" customFormat="1" ht="18" customHeight="1">
      <c r="A46" s="198" t="str">
        <f ca="1">IF(ROWS($1:32)&gt;COUNT(Dong5),"",OFFSET(TH!C$1,SMALL(Dong5,ROWS($1:32)),))</f>
        <v/>
      </c>
      <c r="B46" s="198" t="str">
        <f ca="1">IF(ROWS($1:32)&gt;COUNT(Dong5),"",OFFSET(TH!D$1,SMALL(Dong5,ROWS($1:32)),))</f>
        <v/>
      </c>
      <c r="C46" s="198" t="str">
        <f ca="1">IF(ROWS($1:32)&gt;COUNT(Dong5),"",OFFSET(TH!E$1,SMALL(Dong5,ROWS($1:32)),))</f>
        <v/>
      </c>
      <c r="D46" s="244" t="str">
        <f ca="1">IF(ROWS($1:32)&gt;COUNT(Dong5),"",OFFSET(TH!F$1,SMALL(Dong5,ROWS($1:32)),))</f>
        <v/>
      </c>
      <c r="E46" s="198" t="str">
        <f ca="1">IF(ROWS($1:32)&gt;COUNT(Dong5),"",IF(OFFSET(TH!L$1,SMALL(Dong5,ROWS($1:32)),)=$E$7,OFFSET(TH!M$1,SMALL(Dong5,ROWS($1:32)),),OFFSET(TH!L$1,SMALL(Dong5,ROWS($1:32)),)))</f>
        <v/>
      </c>
      <c r="F46" s="245">
        <f ca="1">IF(ROWS($1:32)&gt;COUNT(Dong5),0,IF(OFFSET(TH!L$1,SMALL(Dong5,ROWS($1:32)),)=$E$7,OFFSET(TH!K$1,SMALL(Dong5,ROWS($1:32)),),0))</f>
        <v>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0</v>
      </c>
    </row>
    <row r="47" spans="1:9" s="18" customFormat="1" ht="18" customHeight="1">
      <c r="A47" s="198" t="str">
        <f ca="1">IF(ROWS($1:33)&gt;COUNT(Dong5),"",OFFSET(TH!C$1,SMALL(Dong5,ROWS($1:33)),))</f>
        <v/>
      </c>
      <c r="B47" s="198" t="str">
        <f ca="1">IF(ROWS($1:33)&gt;COUNT(Dong5),"",OFFSET(TH!D$1,SMALL(Dong5,ROWS($1:33)),))</f>
        <v/>
      </c>
      <c r="C47" s="198" t="str">
        <f ca="1">IF(ROWS($1:33)&gt;COUNT(Dong5),"",OFFSET(TH!E$1,SMALL(Dong5,ROWS($1:33)),))</f>
        <v/>
      </c>
      <c r="D47" s="244" t="str">
        <f ca="1">IF(ROWS($1:33)&gt;COUNT(Dong5),"",OFFSET(TH!F$1,SMALL(Dong5,ROWS($1:33)),))</f>
        <v/>
      </c>
      <c r="E47" s="198" t="str">
        <f ca="1">IF(ROWS($1:33)&gt;COUNT(Dong5),"",IF(OFFSET(TH!L$1,SMALL(Dong5,ROWS($1:33)),)=$E$7,OFFSET(TH!M$1,SMALL(Dong5,ROWS($1:33)),),OFFSET(TH!L$1,SMALL(Dong5,ROWS($1:33)),)))</f>
        <v/>
      </c>
      <c r="F47" s="245">
        <f ca="1">IF(ROWS($1:33)&gt;COUNT(Dong5),0,IF(OFFSET(TH!L$1,SMALL(Dong5,ROWS($1:33)),)=$E$7,OFFSET(TH!K$1,SMALL(Dong5,ROWS($1:33)),),0))</f>
        <v>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0</v>
      </c>
    </row>
    <row r="48" spans="1:9" s="18" customFormat="1" ht="18" customHeight="1">
      <c r="A48" s="198" t="str">
        <f ca="1">IF(ROWS($1:34)&gt;COUNT(Dong5),"",OFFSET(TH!C$1,SMALL(Dong5,ROWS($1:34)),))</f>
        <v/>
      </c>
      <c r="B48" s="198" t="str">
        <f ca="1">IF(ROWS($1:34)&gt;COUNT(Dong5),"",OFFSET(TH!D$1,SMALL(Dong5,ROWS($1:34)),))</f>
        <v/>
      </c>
      <c r="C48" s="198" t="str">
        <f ca="1">IF(ROWS($1:34)&gt;COUNT(Dong5),"",OFFSET(TH!E$1,SMALL(Dong5,ROWS($1:34)),))</f>
        <v/>
      </c>
      <c r="D48" s="244" t="str">
        <f ca="1">IF(ROWS($1:34)&gt;COUNT(Dong5),"",OFFSET(TH!F$1,SMALL(Dong5,ROWS($1:34)),))</f>
        <v/>
      </c>
      <c r="E48" s="198" t="str">
        <f ca="1">IF(ROWS($1:34)&gt;COUNT(Dong5),"",IF(OFFSET(TH!L$1,SMALL(Dong5,ROWS($1:34)),)=$E$7,OFFSET(TH!M$1,SMALL(Dong5,ROWS($1:34)),),OFFSET(TH!L$1,SMALL(Dong5,ROWS($1:34)),)))</f>
        <v/>
      </c>
      <c r="F48" s="245">
        <f ca="1">IF(ROWS($1:34)&gt;COUNT(Dong5),0,IF(OFFSET(TH!L$1,SMALL(Dong5,ROWS($1:34)),)=$E$7,OFFSET(TH!K$1,SMALL(Dong5,ROWS($1:34)),),0))</f>
        <v>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0</v>
      </c>
    </row>
    <row r="49" spans="1:9" s="18" customFormat="1" ht="18" customHeight="1">
      <c r="A49" s="198" t="str">
        <f ca="1">IF(ROWS($1:35)&gt;COUNT(Dong5),"",OFFSET(TH!C$1,SMALL(Dong5,ROWS($1:35)),))</f>
        <v/>
      </c>
      <c r="B49" s="198" t="str">
        <f ca="1">IF(ROWS($1:35)&gt;COUNT(Dong5),"",OFFSET(TH!D$1,SMALL(Dong5,ROWS($1:35)),))</f>
        <v/>
      </c>
      <c r="C49" s="198" t="str">
        <f ca="1">IF(ROWS($1:35)&gt;COUNT(Dong5),"",OFFSET(TH!E$1,SMALL(Dong5,ROWS($1:35)),))</f>
        <v/>
      </c>
      <c r="D49" s="244" t="str">
        <f ca="1">IF(ROWS($1:35)&gt;COUNT(Dong5),"",OFFSET(TH!F$1,SMALL(Dong5,ROWS($1:35)),))</f>
        <v/>
      </c>
      <c r="E49" s="198" t="str">
        <f ca="1">IF(ROWS($1:35)&gt;COUNT(Dong5),"",IF(OFFSET(TH!L$1,SMALL(Dong5,ROWS($1:35)),)=$E$7,OFFSET(TH!M$1,SMALL(Dong5,ROWS($1:35)),),OFFSET(TH!L$1,SMALL(Dong5,ROWS($1:35)),)))</f>
        <v/>
      </c>
      <c r="F49" s="245">
        <f ca="1">IF(ROWS($1:35)&gt;COUNT(Dong5),0,IF(OFFSET(TH!L$1,SMALL(Dong5,ROWS($1:35)),)=$E$7,OFFSET(TH!K$1,SMALL(Dong5,ROWS($1:35)),),0))</f>
        <v>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0</v>
      </c>
    </row>
    <row r="50" spans="1:9" s="18" customFormat="1" ht="18" customHeight="1">
      <c r="A50" s="198" t="str">
        <f ca="1">IF(ROWS($1:36)&gt;COUNT(Dong5),"",OFFSET(TH!C$1,SMALL(Dong5,ROWS($1:36)),))</f>
        <v/>
      </c>
      <c r="B50" s="198" t="str">
        <f ca="1">IF(ROWS($1:36)&gt;COUNT(Dong5),"",OFFSET(TH!D$1,SMALL(Dong5,ROWS($1:36)),))</f>
        <v/>
      </c>
      <c r="C50" s="198" t="str">
        <f ca="1">IF(ROWS($1:36)&gt;COUNT(Dong5),"",OFFSET(TH!E$1,SMALL(Dong5,ROWS($1:36)),))</f>
        <v/>
      </c>
      <c r="D50" s="244" t="str">
        <f ca="1">IF(ROWS($1:36)&gt;COUNT(Dong5),"",OFFSET(TH!F$1,SMALL(Dong5,ROWS($1:36)),))</f>
        <v/>
      </c>
      <c r="E50" s="198" t="str">
        <f ca="1">IF(ROWS($1:36)&gt;COUNT(Dong5),"",IF(OFFSET(TH!L$1,SMALL(Dong5,ROWS($1:36)),)=$E$7,OFFSET(TH!M$1,SMALL(Dong5,ROWS($1:36)),),OFFSET(TH!L$1,SMALL(Dong5,ROWS($1:36)),)))</f>
        <v/>
      </c>
      <c r="F50" s="245">
        <f ca="1">IF(ROWS($1:36)&gt;COUNT(Dong5),0,IF(OFFSET(TH!L$1,SMALL(Dong5,ROWS($1:36)),)=$E$7,OFFSET(TH!K$1,SMALL(Dong5,ROWS($1:36)),),0))</f>
        <v>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0</v>
      </c>
    </row>
    <row r="51" spans="1:9" s="18" customFormat="1" ht="18" customHeight="1">
      <c r="A51" s="198" t="str">
        <f ca="1">IF(ROWS($1:37)&gt;COUNT(Dong5),"",OFFSET(TH!C$1,SMALL(Dong5,ROWS($1:37)),))</f>
        <v/>
      </c>
      <c r="B51" s="198" t="str">
        <f ca="1">IF(ROWS($1:37)&gt;COUNT(Dong5),"",OFFSET(TH!D$1,SMALL(Dong5,ROWS($1:37)),))</f>
        <v/>
      </c>
      <c r="C51" s="198" t="str">
        <f ca="1">IF(ROWS($1:37)&gt;COUNT(Dong5),"",OFFSET(TH!E$1,SMALL(Dong5,ROWS($1:37)),))</f>
        <v/>
      </c>
      <c r="D51" s="244" t="str">
        <f ca="1">IF(ROWS($1:37)&gt;COUNT(Dong5),"",OFFSET(TH!F$1,SMALL(Dong5,ROWS($1:37)),))</f>
        <v/>
      </c>
      <c r="E51" s="198" t="str">
        <f ca="1">IF(ROWS($1:37)&gt;COUNT(Dong5),"",IF(OFFSET(TH!L$1,SMALL(Dong5,ROWS($1:37)),)=$E$7,OFFSET(TH!M$1,SMALL(Dong5,ROWS($1:37)),),OFFSET(TH!L$1,SMALL(Dong5,ROWS($1:37)),)))</f>
        <v/>
      </c>
      <c r="F51" s="245">
        <f ca="1">IF(ROWS($1:37)&gt;COUNT(Dong5),0,IF(OFFSET(TH!L$1,SMALL(Dong5,ROWS($1:37)),)=$E$7,OFFSET(TH!K$1,SMALL(Dong5,ROWS($1:37)),),0))</f>
        <v>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0</v>
      </c>
    </row>
    <row r="52" spans="1:9" s="18" customFormat="1" ht="18" customHeight="1">
      <c r="A52" s="198" t="str">
        <f ca="1">IF(ROWS($1:38)&gt;COUNT(Dong5),"",OFFSET(TH!C$1,SMALL(Dong5,ROWS($1:38)),))</f>
        <v/>
      </c>
      <c r="B52" s="198" t="str">
        <f ca="1">IF(ROWS($1:38)&gt;COUNT(Dong5),"",OFFSET(TH!D$1,SMALL(Dong5,ROWS($1:38)),))</f>
        <v/>
      </c>
      <c r="C52" s="198" t="str">
        <f ca="1">IF(ROWS($1:38)&gt;COUNT(Dong5),"",OFFSET(TH!E$1,SMALL(Dong5,ROWS($1:38)),))</f>
        <v/>
      </c>
      <c r="D52" s="244" t="str">
        <f ca="1">IF(ROWS($1:38)&gt;COUNT(Dong5),"",OFFSET(TH!F$1,SMALL(Dong5,ROWS($1:38)),))</f>
        <v/>
      </c>
      <c r="E52" s="198" t="str">
        <f ca="1">IF(ROWS($1:38)&gt;COUNT(Dong5),"",IF(OFFSET(TH!L$1,SMALL(Dong5,ROWS($1:38)),)=$E$7,OFFSET(TH!M$1,SMALL(Dong5,ROWS($1:38)),),OFFSET(TH!L$1,SMALL(Dong5,ROWS($1:38)),)))</f>
        <v/>
      </c>
      <c r="F52" s="245">
        <f ca="1">IF(ROWS($1:38)&gt;COUNT(Dong5),0,IF(OFFSET(TH!L$1,SMALL(Dong5,ROWS($1:38)),)=$E$7,OFFSET(TH!K$1,SMALL(Dong5,ROWS($1:38)),),0))</f>
        <v>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0</v>
      </c>
    </row>
    <row r="53" spans="1:9" s="18" customFormat="1" ht="18" customHeight="1">
      <c r="A53" s="198" t="str">
        <f ca="1">IF(ROWS($1:39)&gt;COUNT(Dong5),"",OFFSET(TH!C$1,SMALL(Dong5,ROWS($1:39)),))</f>
        <v/>
      </c>
      <c r="B53" s="198" t="str">
        <f ca="1">IF(ROWS($1:39)&gt;COUNT(Dong5),"",OFFSET(TH!D$1,SMALL(Dong5,ROWS($1:39)),))</f>
        <v/>
      </c>
      <c r="C53" s="198" t="str">
        <f ca="1">IF(ROWS($1:39)&gt;COUNT(Dong5),"",OFFSET(TH!E$1,SMALL(Dong5,ROWS($1:39)),))</f>
        <v/>
      </c>
      <c r="D53" s="244" t="str">
        <f ca="1">IF(ROWS($1:39)&gt;COUNT(Dong5),"",OFFSET(TH!F$1,SMALL(Dong5,ROWS($1:39)),))</f>
        <v/>
      </c>
      <c r="E53" s="198" t="str">
        <f ca="1">IF(ROWS($1:39)&gt;COUNT(Dong5),"",IF(OFFSET(TH!L$1,SMALL(Dong5,ROWS($1:39)),)=$E$7,OFFSET(TH!M$1,SMALL(Dong5,ROWS($1:39)),),OFFSET(TH!L$1,SMALL(Dong5,ROWS($1:39)),)))</f>
        <v/>
      </c>
      <c r="F53" s="245">
        <f ca="1">IF(ROWS($1:39)&gt;COUNT(Dong5),0,IF(OFFSET(TH!L$1,SMALL(Dong5,ROWS($1:39)),)=$E$7,OFFSET(TH!K$1,SMALL(Dong5,ROWS($1:39)),),0))</f>
        <v>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0</v>
      </c>
    </row>
    <row r="54" spans="1:9" s="18" customFormat="1" ht="18" customHeight="1">
      <c r="A54" s="198" t="str">
        <f ca="1">IF(ROWS($1:40)&gt;COUNT(Dong5),"",OFFSET(TH!C$1,SMALL(Dong5,ROWS($1:40)),))</f>
        <v/>
      </c>
      <c r="B54" s="198" t="str">
        <f ca="1">IF(ROWS($1:40)&gt;COUNT(Dong5),"",OFFSET(TH!D$1,SMALL(Dong5,ROWS($1:40)),))</f>
        <v/>
      </c>
      <c r="C54" s="198" t="str">
        <f ca="1">IF(ROWS($1:40)&gt;COUNT(Dong5),"",OFFSET(TH!E$1,SMALL(Dong5,ROWS($1:40)),))</f>
        <v/>
      </c>
      <c r="D54" s="244" t="str">
        <f ca="1">IF(ROWS($1:40)&gt;COUNT(Dong5),"",OFFSET(TH!F$1,SMALL(Dong5,ROWS($1:40)),))</f>
        <v/>
      </c>
      <c r="E54" s="198" t="str">
        <f ca="1">IF(ROWS($1:40)&gt;COUNT(Dong5),"",IF(OFFSET(TH!L$1,SMALL(Dong5,ROWS($1:40)),)=$E$7,OFFSET(TH!M$1,SMALL(Dong5,ROWS($1:40)),),OFFSET(TH!L$1,SMALL(Dong5,ROWS($1:40)),)))</f>
        <v/>
      </c>
      <c r="F54" s="245">
        <f ca="1">IF(ROWS($1:40)&gt;COUNT(Dong5),0,IF(OFFSET(TH!L$1,SMALL(Dong5,ROWS($1:40)),)=$E$7,OFFSET(TH!K$1,SMALL(Dong5,ROWS($1:40)),),0))</f>
        <v>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0</v>
      </c>
    </row>
    <row r="55" spans="1:9" s="18" customFormat="1" ht="18" customHeight="1">
      <c r="A55" s="198" t="str">
        <f ca="1">IF(ROWS($1:41)&gt;COUNT(Dong5),"",OFFSET(TH!C$1,SMALL(Dong5,ROWS($1:41)),))</f>
        <v/>
      </c>
      <c r="B55" s="198" t="str">
        <f ca="1">IF(ROWS($1:41)&gt;COUNT(Dong5),"",OFFSET(TH!D$1,SMALL(Dong5,ROWS($1:41)),))</f>
        <v/>
      </c>
      <c r="C55" s="198" t="str">
        <f ca="1">IF(ROWS($1:41)&gt;COUNT(Dong5),"",OFFSET(TH!E$1,SMALL(Dong5,ROWS($1:41)),))</f>
        <v/>
      </c>
      <c r="D55" s="244" t="str">
        <f ca="1">IF(ROWS($1:41)&gt;COUNT(Dong5),"",OFFSET(TH!F$1,SMALL(Dong5,ROWS($1:41)),))</f>
        <v/>
      </c>
      <c r="E55" s="198" t="str">
        <f ca="1">IF(ROWS($1:41)&gt;COUNT(Dong5),"",IF(OFFSET(TH!L$1,SMALL(Dong5,ROWS($1:41)),)=$E$7,OFFSET(TH!M$1,SMALL(Dong5,ROWS($1:41)),),OFFSET(TH!L$1,SMALL(Dong5,ROWS($1:41)),)))</f>
        <v/>
      </c>
      <c r="F55" s="245">
        <f ca="1">IF(ROWS($1:41)&gt;COUNT(Dong5),0,IF(OFFSET(TH!L$1,SMALL(Dong5,ROWS($1:41)),)=$E$7,OFFSET(TH!K$1,SMALL(Dong5,ROWS($1:41)),),0))</f>
        <v>0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0</v>
      </c>
    </row>
    <row r="56" spans="1:9" s="18" customFormat="1" ht="18" customHeight="1">
      <c r="A56" s="198" t="str">
        <f ca="1">IF(ROWS($1:42)&gt;COUNT(Dong5),"",OFFSET(TH!C$1,SMALL(Dong5,ROWS($1:42)),))</f>
        <v/>
      </c>
      <c r="B56" s="198" t="str">
        <f ca="1">IF(ROWS($1:42)&gt;COUNT(Dong5),"",OFFSET(TH!D$1,SMALL(Dong5,ROWS($1:42)),))</f>
        <v/>
      </c>
      <c r="C56" s="198" t="str">
        <f ca="1">IF(ROWS($1:42)&gt;COUNT(Dong5),"",OFFSET(TH!E$1,SMALL(Dong5,ROWS($1:42)),))</f>
        <v/>
      </c>
      <c r="D56" s="244" t="str">
        <f ca="1">IF(ROWS($1:42)&gt;COUNT(Dong5),"",OFFSET(TH!F$1,SMALL(Dong5,ROWS($1:42)),))</f>
        <v/>
      </c>
      <c r="E56" s="198" t="str">
        <f ca="1">IF(ROWS($1:42)&gt;COUNT(Dong5),"",IF(OFFSET(TH!L$1,SMALL(Dong5,ROWS($1:42)),)=$E$7,OFFSET(TH!M$1,SMALL(Dong5,ROWS($1:42)),),OFFSET(TH!L$1,SMALL(Dong5,ROWS($1:42)),)))</f>
        <v/>
      </c>
      <c r="F56" s="245">
        <f ca="1">IF(ROWS($1:42)&gt;COUNT(Dong5),0,IF(OFFSET(TH!L$1,SMALL(Dong5,ROWS($1:42)),)=$E$7,OFFSET(TH!K$1,SMALL(Dong5,ROWS($1:42)),),0))</f>
        <v>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0</v>
      </c>
    </row>
    <row r="57" spans="1:9" s="18" customFormat="1" ht="18" customHeight="1">
      <c r="A57" s="198" t="str">
        <f ca="1">IF(ROWS($1:43)&gt;COUNT(Dong5),"",OFFSET(TH!C$1,SMALL(Dong5,ROWS($1:43)),))</f>
        <v/>
      </c>
      <c r="B57" s="198" t="str">
        <f ca="1">IF(ROWS($1:43)&gt;COUNT(Dong5),"",OFFSET(TH!D$1,SMALL(Dong5,ROWS($1:43)),))</f>
        <v/>
      </c>
      <c r="C57" s="198" t="str">
        <f ca="1">IF(ROWS($1:43)&gt;COUNT(Dong5),"",OFFSET(TH!E$1,SMALL(Dong5,ROWS($1:43)),))</f>
        <v/>
      </c>
      <c r="D57" s="244" t="str">
        <f ca="1">IF(ROWS($1:43)&gt;COUNT(Dong5),"",OFFSET(TH!F$1,SMALL(Dong5,ROWS($1:43)),))</f>
        <v/>
      </c>
      <c r="E57" s="198" t="str">
        <f ca="1">IF(ROWS($1:43)&gt;COUNT(Dong5),"",IF(OFFSET(TH!L$1,SMALL(Dong5,ROWS($1:43)),)=$E$7,OFFSET(TH!M$1,SMALL(Dong5,ROWS($1:43)),),OFFSET(TH!L$1,SMALL(Dong5,ROWS($1:43)),)))</f>
        <v/>
      </c>
      <c r="F57" s="245">
        <f ca="1">IF(ROWS($1:43)&gt;COUNT(Dong5),0,IF(OFFSET(TH!L$1,SMALL(Dong5,ROWS($1:43)),)=$E$7,OFFSET(TH!K$1,SMALL(Dong5,ROWS($1:43)),),0))</f>
        <v>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0</v>
      </c>
    </row>
    <row r="58" spans="1:9" s="18" customFormat="1" ht="18" customHeight="1">
      <c r="A58" s="198" t="str">
        <f ca="1">IF(ROWS($1:44)&gt;COUNT(Dong5),"",OFFSET(TH!C$1,SMALL(Dong5,ROWS($1:44)),))</f>
        <v/>
      </c>
      <c r="B58" s="198" t="str">
        <f ca="1">IF(ROWS($1:44)&gt;COUNT(Dong5),"",OFFSET(TH!D$1,SMALL(Dong5,ROWS($1:44)),))</f>
        <v/>
      </c>
      <c r="C58" s="198" t="str">
        <f ca="1">IF(ROWS($1:44)&gt;COUNT(Dong5),"",OFFSET(TH!E$1,SMALL(Dong5,ROWS($1:44)),))</f>
        <v/>
      </c>
      <c r="D58" s="244" t="str">
        <f ca="1">IF(ROWS($1:44)&gt;COUNT(Dong5),"",OFFSET(TH!F$1,SMALL(Dong5,ROWS($1:44)),))</f>
        <v/>
      </c>
      <c r="E58" s="198" t="str">
        <f ca="1">IF(ROWS($1:44)&gt;COUNT(Dong5),"",IF(OFFSET(TH!L$1,SMALL(Dong5,ROWS($1:44)),)=$E$7,OFFSET(TH!M$1,SMALL(Dong5,ROWS($1:44)),),OFFSET(TH!L$1,SMALL(Dong5,ROWS($1:44)),)))</f>
        <v/>
      </c>
      <c r="F58" s="245">
        <f ca="1">IF(ROWS($1:44)&gt;COUNT(Dong5),0,IF(OFFSET(TH!L$1,SMALL(Dong5,ROWS($1:44)),)=$E$7,OFFSET(TH!K$1,SMALL(Dong5,ROWS($1:44)),),0))</f>
        <v>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0</v>
      </c>
    </row>
    <row r="59" spans="1:9" s="18" customFormat="1" ht="18" customHeight="1">
      <c r="A59" s="198" t="str">
        <f ca="1">IF(ROWS($1:45)&gt;COUNT(Dong5),"",OFFSET(TH!C$1,SMALL(Dong5,ROWS($1:45)),))</f>
        <v/>
      </c>
      <c r="B59" s="198" t="str">
        <f ca="1">IF(ROWS($1:45)&gt;COUNT(Dong5),"",OFFSET(TH!D$1,SMALL(Dong5,ROWS($1:45)),))</f>
        <v/>
      </c>
      <c r="C59" s="198" t="str">
        <f ca="1">IF(ROWS($1:45)&gt;COUNT(Dong5),"",OFFSET(TH!E$1,SMALL(Dong5,ROWS($1:45)),))</f>
        <v/>
      </c>
      <c r="D59" s="244" t="str">
        <f ca="1">IF(ROWS($1:45)&gt;COUNT(Dong5),"",OFFSET(TH!F$1,SMALL(Dong5,ROWS($1:45)),))</f>
        <v/>
      </c>
      <c r="E59" s="198" t="str">
        <f ca="1">IF(ROWS($1:45)&gt;COUNT(Dong5),"",IF(OFFSET(TH!L$1,SMALL(Dong5,ROWS($1:45)),)=$E$7,OFFSET(TH!M$1,SMALL(Dong5,ROWS($1:45)),),OFFSET(TH!L$1,SMALL(Dong5,ROWS($1:45)),)))</f>
        <v/>
      </c>
      <c r="F59" s="245">
        <f ca="1">IF(ROWS($1:45)&gt;COUNT(Dong5),0,IF(OFFSET(TH!L$1,SMALL(Dong5,ROWS($1:45)),)=$E$7,OFFSET(TH!K$1,SMALL(Dong5,ROWS($1:45)),),0))</f>
        <v>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0</v>
      </c>
    </row>
    <row r="60" spans="1:9" s="18" customFormat="1" ht="18" customHeight="1">
      <c r="A60" s="198" t="str">
        <f ca="1">IF(ROWS($1:46)&gt;COUNT(Dong5),"",OFFSET(TH!C$1,SMALL(Dong5,ROWS($1:46)),))</f>
        <v/>
      </c>
      <c r="B60" s="198" t="str">
        <f ca="1">IF(ROWS($1:46)&gt;COUNT(Dong5),"",OFFSET(TH!D$1,SMALL(Dong5,ROWS($1:46)),))</f>
        <v/>
      </c>
      <c r="C60" s="198" t="str">
        <f ca="1">IF(ROWS($1:46)&gt;COUNT(Dong5),"",OFFSET(TH!E$1,SMALL(Dong5,ROWS($1:46)),))</f>
        <v/>
      </c>
      <c r="D60" s="244" t="str">
        <f ca="1">IF(ROWS($1:46)&gt;COUNT(Dong5),"",OFFSET(TH!F$1,SMALL(Dong5,ROWS($1:46)),))</f>
        <v/>
      </c>
      <c r="E60" s="198" t="str">
        <f ca="1">IF(ROWS($1:46)&gt;COUNT(Dong5),"",IF(OFFSET(TH!L$1,SMALL(Dong5,ROWS($1:46)),)=$E$7,OFFSET(TH!M$1,SMALL(Dong5,ROWS($1:46)),),OFFSET(TH!L$1,SMALL(Dong5,ROWS($1:46)),)))</f>
        <v/>
      </c>
      <c r="F60" s="245">
        <f ca="1">IF(ROWS($1:46)&gt;COUNT(Dong5),0,IF(OFFSET(TH!L$1,SMALL(Dong5,ROWS($1:46)),)=$E$7,OFFSET(TH!K$1,SMALL(Dong5,ROWS($1:46)),),0))</f>
        <v>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0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 t="e">
        <f ca="1">SUM(F15:F61)</f>
        <v>#REF!</v>
      </c>
      <c r="G62" s="247" t="e">
        <f ca="1">SUM(G15:G61)</f>
        <v>#REF!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 t="e">
        <f ca="1">MAX(H14+F62-G62-I14,0)</f>
        <v>#REF!</v>
      </c>
      <c r="I63" s="250" t="e">
        <f ca="1">MAX(I14+G62-F62-H14,0)</f>
        <v>#REF!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e">
        <f ca="1">"- Ngày mở sổ: "&amp;DAY($A$15)&amp;"/"&amp;MONTH($A$15)&amp;"/ " &amp;YEAR($A$15)</f>
        <v>#REF!</v>
      </c>
      <c r="E66" s="213"/>
    </row>
    <row r="67" spans="1:9" s="18" customFormat="1" ht="13.5" customHeight="1">
      <c r="A67" s="213"/>
      <c r="B67" s="213"/>
      <c r="C67" s="213"/>
      <c r="E67" s="972" t="e">
        <f ca="1">"Ngày 31 tháng  12  năm  "&amp;YEAR($A$15)</f>
        <v>#REF!</v>
      </c>
      <c r="F67" s="972"/>
      <c r="G67" s="972"/>
      <c r="H67" s="972"/>
      <c r="I67" s="972"/>
    </row>
    <row r="68" spans="1:9" s="18" customFormat="1" ht="12.75">
      <c r="A68" s="972" t="s">
        <v>11</v>
      </c>
      <c r="B68" s="972"/>
      <c r="C68" s="972"/>
      <c r="D68" s="972"/>
      <c r="E68" s="972" t="s">
        <v>12</v>
      </c>
      <c r="F68" s="972"/>
      <c r="G68" s="972"/>
      <c r="H68" s="972"/>
      <c r="I68" s="972"/>
    </row>
    <row r="69" spans="1:9" s="18" customFormat="1" ht="12.75">
      <c r="A69" s="972" t="s">
        <v>13</v>
      </c>
      <c r="B69" s="972"/>
      <c r="C69" s="972"/>
      <c r="D69" s="972"/>
      <c r="E69" s="972" t="s">
        <v>13</v>
      </c>
      <c r="F69" s="972"/>
      <c r="G69" s="972"/>
      <c r="H69" s="972"/>
      <c r="I69" s="972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85"/>
      <c r="B76" s="985"/>
      <c r="C76" s="985"/>
      <c r="D76" s="985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SX TM KIM DUNG PHÁT</v>
      </c>
      <c r="B1" s="2"/>
      <c r="C1" s="2"/>
      <c r="D1" s="2"/>
      <c r="E1" s="2"/>
      <c r="G1" s="975" t="s">
        <v>119</v>
      </c>
      <c r="H1" s="975"/>
      <c r="I1" s="975"/>
      <c r="J1" s="975"/>
    </row>
    <row r="2" spans="1:15" s="3" customFormat="1" ht="16.5" customHeight="1">
      <c r="A2" s="95" t="str">
        <f>TH!A2</f>
        <v>Địa chỉ: 1A227/1 Ấp 1, Phạm Văn Hai, Bình Chánh, TPHCM</v>
      </c>
      <c r="B2" s="16"/>
      <c r="C2" s="16"/>
      <c r="D2" s="16"/>
      <c r="E2" s="16"/>
      <c r="G2" s="976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76"/>
      <c r="I2" s="976"/>
      <c r="J2" s="976"/>
    </row>
    <row r="3" spans="1:15" s="3" customFormat="1" ht="16.5" customHeight="1">
      <c r="A3" s="4"/>
      <c r="B3" s="16"/>
      <c r="C3" s="108"/>
      <c r="D3" s="108"/>
      <c r="E3" s="16"/>
      <c r="G3" s="976"/>
      <c r="H3" s="976"/>
      <c r="I3" s="976"/>
      <c r="J3" s="976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86" t="s">
        <v>120</v>
      </c>
      <c r="B5" s="986"/>
      <c r="C5" s="986"/>
      <c r="D5" s="986"/>
      <c r="E5" s="986"/>
      <c r="F5" s="986"/>
      <c r="G5" s="986"/>
      <c r="H5" s="986"/>
      <c r="I5" s="986"/>
      <c r="J5" s="986"/>
    </row>
    <row r="6" spans="1:15" ht="14.25" customHeight="1">
      <c r="A6" s="988" t="str">
        <f ca="1">$L$11&amp;" / "&amp;YEAR($A$14)</f>
        <v>Quý III / 2016</v>
      </c>
      <c r="B6" s="988"/>
      <c r="C6" s="988"/>
      <c r="D6" s="988"/>
      <c r="E6" s="988"/>
      <c r="F6" s="988"/>
      <c r="G6" s="988"/>
      <c r="H6" s="988"/>
      <c r="I6" s="988"/>
      <c r="J6" s="988"/>
    </row>
    <row r="7" spans="1:15">
      <c r="A7" s="987" t="s">
        <v>121</v>
      </c>
      <c r="B7" s="987"/>
      <c r="C7" s="987"/>
      <c r="D7" s="987"/>
      <c r="E7" s="987"/>
      <c r="F7" s="987"/>
      <c r="G7" s="987"/>
      <c r="H7" s="987"/>
      <c r="I7" s="987"/>
      <c r="J7" s="987"/>
    </row>
    <row r="8" spans="1:15">
      <c r="A8" s="987" t="s">
        <v>122</v>
      </c>
      <c r="B8" s="987"/>
      <c r="C8" s="987"/>
      <c r="D8" s="987"/>
      <c r="E8" s="987"/>
      <c r="F8" s="987"/>
      <c r="G8" s="987"/>
      <c r="H8" s="987"/>
      <c r="I8" s="987"/>
      <c r="J8" s="987"/>
    </row>
    <row r="9" spans="1:15">
      <c r="A9" s="111"/>
      <c r="I9" s="111" t="s">
        <v>123</v>
      </c>
    </row>
    <row r="10" spans="1:15" ht="33" customHeight="1" thickBot="1">
      <c r="A10" s="990" t="s">
        <v>20</v>
      </c>
      <c r="B10" s="990" t="s">
        <v>124</v>
      </c>
      <c r="C10" s="989" t="s">
        <v>125</v>
      </c>
      <c r="D10" s="989"/>
      <c r="E10" s="989" t="s">
        <v>0</v>
      </c>
      <c r="F10" s="990" t="s">
        <v>14</v>
      </c>
      <c r="G10" s="989" t="s">
        <v>21</v>
      </c>
      <c r="H10" s="989"/>
      <c r="I10" s="989" t="s">
        <v>126</v>
      </c>
      <c r="J10" s="989" t="s">
        <v>127</v>
      </c>
      <c r="L10" s="606"/>
      <c r="N10" s="970" t="s">
        <v>331</v>
      </c>
      <c r="O10" s="970"/>
    </row>
    <row r="11" spans="1:15" ht="24" customHeight="1" thickBot="1">
      <c r="A11" s="991"/>
      <c r="B11" s="991"/>
      <c r="C11" s="112" t="s">
        <v>128</v>
      </c>
      <c r="D11" s="112" t="s">
        <v>129</v>
      </c>
      <c r="E11" s="989"/>
      <c r="F11" s="991"/>
      <c r="G11" s="112" t="s">
        <v>22</v>
      </c>
      <c r="H11" s="112" t="s">
        <v>23</v>
      </c>
      <c r="I11" s="989"/>
      <c r="J11" s="989"/>
      <c r="L11" s="177" t="s">
        <v>411</v>
      </c>
      <c r="N11" s="627">
        <f>IF(L11="Quý I",1,IF(L11="Quý II",4,IF(L11="Quý III",7,IF(L11="Quý IV",10,""))))</f>
        <v>7</v>
      </c>
      <c r="O11" s="627">
        <f>IF(L11="Quý I",3,IF(L11="Quý II",6,IF(L11="Quý III",9,IF(L11="Quý IV",12,""))))</f>
        <v>9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8"/>
      <c r="O12" s="628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1797800000</v>
      </c>
      <c r="J13" s="116"/>
      <c r="N13" s="629"/>
      <c r="O13" s="629"/>
    </row>
    <row r="14" spans="1:15" ht="21.75" customHeight="1">
      <c r="A14" s="119">
        <f ca="1">IF(ROWS($1:1)&gt;COUNT(Dong1),"",OFFSET(TH!C$1,SMALL(Dong1,ROWS($1:1)),))</f>
        <v>42552</v>
      </c>
      <c r="B14" s="119">
        <f ca="1">IF(ROWS($1:1)&gt;COUNT(Dong1),"",OFFSET(TH!E$1,SMALL(Dong1,ROWS($1:1)),))</f>
        <v>42508</v>
      </c>
      <c r="C14" s="120" t="str">
        <f ca="1">IF(ROWS($1:1)&gt;COUNT(Dong1),"",IF(OFFSET(TH!L$1,SMALL(Dong1,ROWS($1:1)),)="1111",OFFSET(TH!D$1,SMALL(Dong1,ROWS($1:1)),),""))</f>
        <v/>
      </c>
      <c r="D14" s="121" t="str">
        <f ca="1">IF(ROWS($1:1)&gt;COUNT(Dong1),"",IF(OFFSET(TH!M$1,SMALL(Dong1,ROWS($1:1)),)="1111",OFFSET(TH!D$1,SMALL(Dong1,ROWS($1:1)),),""))</f>
        <v>C01</v>
      </c>
      <c r="E14" s="228" t="str">
        <f ca="1">IF(ROWS($1:1)&gt;COUNT(Dong1),"",OFFSET(TH!F$1,SMALL(Dong1,ROWS($1:1)),))</f>
        <v>Chữ ký số</v>
      </c>
      <c r="F14" s="123" t="str">
        <f ca="1">IF(ROWS($1:1)&gt;COUNT(Dong1),"",IF(OFFSET(TH!M$1,SMALL(Dong1,ROWS($1:1)),)="1111",OFFSET(TH!L$1,SMALL(Dong1,ROWS($1:1)),),OFFSET(TH!M$1,SMALL(Dong1,ROWS($1:1)),)))</f>
        <v>642</v>
      </c>
      <c r="G14" s="124">
        <f ca="1">IF(ROWS($1:1)&gt;COUNT(Dong1),"",IF(OFFSET(TH!L$1,SMALL(Dong1,ROWS($1:1)),)="1111",OFFSET(TH!K$1,SMALL(Dong1,ROWS($1:1)),),0))</f>
        <v>0</v>
      </c>
      <c r="H14" s="122">
        <f ca="1">IF(ROWS($1:1)&gt;COUNT(Dong1),"",IF(OFFSET(TH!M$1,SMALL(Dong1,ROWS($1:1)),)="1111",OFFSET(TH!K$1,SMALL(Dong1,ROWS($1:1)),),0))</f>
        <v>2160000</v>
      </c>
      <c r="I14" s="120">
        <f ca="1">IF(E14&lt;&gt;"",I13+G14-H14,0)</f>
        <v>1795640000</v>
      </c>
      <c r="J14" s="125"/>
      <c r="N14" s="630"/>
      <c r="O14" s="630"/>
    </row>
    <row r="15" spans="1:15" ht="21.75" customHeight="1">
      <c r="A15" s="119">
        <f ca="1">IF(ROWS($1:2)&gt;COUNT(Dong1),"",OFFSET(TH!C$1,SMALL(Dong1,ROWS($1:2)),))</f>
        <v>42552</v>
      </c>
      <c r="B15" s="119">
        <f ca="1">IF(ROWS($1:2)&gt;COUNT(Dong1),"",OFFSET(TH!E$1,SMALL(Dong1,ROWS($1:2)),))</f>
        <v>42508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VAT Chữ ký số</v>
      </c>
      <c r="F15" s="123" t="str">
        <f ca="1">IF(ROWS($1:2)&gt;COUNT(Dong1),"",IF(OFFSET(TH!M$1,SMALL(Dong1,ROWS($1:2)),)="1111",OFFSET(TH!L$1,SMALL(Dong1,ROWS($1:2)),),OFFSET(TH!M$1,SMALL(Dong1,ROWS($1:2)),)))</f>
        <v>1331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216000</v>
      </c>
      <c r="I15" s="120">
        <f t="shared" ref="I15:I62" ca="1" si="0">IF(E15&lt;&gt;"",I14+G15-H15,0)</f>
        <v>1795424000</v>
      </c>
      <c r="J15" s="125"/>
      <c r="N15" s="630"/>
      <c r="O15" s="630"/>
    </row>
    <row r="16" spans="1:15" ht="21.75" customHeight="1">
      <c r="A16" s="119">
        <f ca="1">IF(ROWS($1:3)&gt;COUNT(Dong1),"",OFFSET(TH!C$1,SMALL(Dong1,ROWS($1:3)),))</f>
        <v>42552</v>
      </c>
      <c r="B16" s="119">
        <f ca="1">IF(ROWS($1:3)&gt;COUNT(Dong1),"",OFFSET(TH!E$1,SMALL(Dong1,ROWS($1:3)),))</f>
        <v>42532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Đặt in hóa đơn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3800000</v>
      </c>
      <c r="I16" s="120">
        <f t="shared" ca="1" si="0"/>
        <v>1791624000</v>
      </c>
      <c r="J16" s="125"/>
      <c r="N16" s="630"/>
      <c r="O16" s="630"/>
    </row>
    <row r="17" spans="1:15" ht="21.75" customHeight="1">
      <c r="A17" s="119">
        <f ca="1">IF(ROWS($1:4)&gt;COUNT(Dong1),"",OFFSET(TH!C$1,SMALL(Dong1,ROWS($1:4)),))</f>
        <v>42552</v>
      </c>
      <c r="B17" s="119">
        <f ca="1">IF(ROWS($1:4)&gt;COUNT(Dong1),"",OFFSET(TH!E$1,SMALL(Dong1,ROWS($1:4)),))</f>
        <v>42532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Đặt in hóa đơn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380000</v>
      </c>
      <c r="I17" s="120">
        <f t="shared" ca="1" si="0"/>
        <v>1791244000</v>
      </c>
      <c r="J17" s="125"/>
      <c r="N17" s="630"/>
      <c r="O17" s="630"/>
    </row>
    <row r="18" spans="1:15" ht="21.75" customHeight="1">
      <c r="A18" s="119">
        <f ca="1">IF(ROWS($1:5)&gt;COUNT(Dong1),"",OFFSET(TH!C$1,SMALL(Dong1,ROWS($1:5)),))</f>
        <v>42566</v>
      </c>
      <c r="B18" s="119">
        <f ca="1">IF(ROWS($1:5)&gt;COUNT(Dong1),"",OFFSET(TH!E$1,SMALL(Dong1,ROWS($1:5)),))</f>
        <v>42566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Dầu Do</v>
      </c>
      <c r="F18" s="123" t="str">
        <f ca="1">IF(ROWS($1:5)&gt;COUNT(Dong1),"",IF(OFFSET(TH!M$1,SMALL(Dong1,ROWS($1:5)),)="1111",OFFSET(TH!L$1,SMALL(Dong1,ROWS($1:5)),),OFFSET(TH!M$1,SMALL(Dong1,ROWS($1:5)),)))</f>
        <v>641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1454545</v>
      </c>
      <c r="I18" s="120">
        <f t="shared" ca="1" si="0"/>
        <v>1789789455</v>
      </c>
      <c r="J18" s="125"/>
      <c r="N18" s="630"/>
      <c r="O18" s="630"/>
    </row>
    <row r="19" spans="1:15" ht="21.75" customHeight="1">
      <c r="A19" s="119">
        <f ca="1">IF(ROWS($1:6)&gt;COUNT(Dong1),"",OFFSET(TH!C$1,SMALL(Dong1,ROWS($1:6)),))</f>
        <v>42566</v>
      </c>
      <c r="B19" s="119">
        <f ca="1">IF(ROWS($1:6)&gt;COUNT(Dong1),"",OFFSET(TH!E$1,SMALL(Dong1,ROWS($1:6)),))</f>
        <v>42566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Dầu Do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145455</v>
      </c>
      <c r="I19" s="120">
        <f t="shared" ca="1" si="0"/>
        <v>1789644000</v>
      </c>
      <c r="J19" s="125"/>
      <c r="N19" s="630"/>
      <c r="O19" s="630"/>
    </row>
    <row r="20" spans="1:15" ht="21.75" customHeight="1">
      <c r="A20" s="119">
        <f ca="1">IF(ROWS($1:7)&gt;COUNT(Dong1),"",OFFSET(TH!C$1,SMALL(Dong1,ROWS($1:7)),))</f>
        <v>42581</v>
      </c>
      <c r="B20" s="119">
        <f ca="1">IF(ROWS($1:7)&gt;COUNT(Dong1),"",OFFSET(TH!E$1,SMALL(Dong1,ROWS($1:7)),))</f>
        <v>42581</v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>C04</v>
      </c>
      <c r="E20" s="228" t="str">
        <f ca="1">IF(ROWS($1:7)&gt;COUNT(Dong1),"",OFFSET(TH!F$1,SMALL(Dong1,ROWS($1:7)),))</f>
        <v>Mực in</v>
      </c>
      <c r="F20" s="123" t="str">
        <f ca="1">IF(ROWS($1:7)&gt;COUNT(Dong1),"",IF(OFFSET(TH!M$1,SMALL(Dong1,ROWS($1:7)),)="1111",OFFSET(TH!L$1,SMALL(Dong1,ROWS($1:7)),),OFFSET(TH!M$1,SMALL(Dong1,ROWS($1:7)),)))</f>
        <v>154</v>
      </c>
      <c r="G20" s="124">
        <f ca="1">IF(ROWS($1:7)&gt;COUNT(Dong1),"",IF(OFFSET(TH!L$1,SMALL(Dong1,ROWS($1:7)),)="1111",OFFSET(TH!K$1,SMALL(Dong1,ROWS($1:7)),),0))</f>
        <v>0</v>
      </c>
      <c r="H20" s="122">
        <f ca="1">IF(ROWS($1:7)&gt;COUNT(Dong1),"",IF(OFFSET(TH!M$1,SMALL(Dong1,ROWS($1:7)),)="1111",OFFSET(TH!K$1,SMALL(Dong1,ROWS($1:7)),),0))</f>
        <v>6290000</v>
      </c>
      <c r="I20" s="120">
        <f t="shared" ca="1" si="0"/>
        <v>1783354000</v>
      </c>
      <c r="J20" s="125"/>
      <c r="N20" s="630"/>
      <c r="O20" s="630"/>
    </row>
    <row r="21" spans="1:15" ht="21.75" customHeight="1">
      <c r="A21" s="119">
        <f ca="1">IF(ROWS($1:8)&gt;COUNT(Dong1),"",OFFSET(TH!C$1,SMALL(Dong1,ROWS($1:8)),))</f>
        <v>42581</v>
      </c>
      <c r="B21" s="119">
        <f ca="1">IF(ROWS($1:8)&gt;COUNT(Dong1),"",OFFSET(TH!E$1,SMALL(Dong1,ROWS($1:8)),))</f>
        <v>42581</v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>C04</v>
      </c>
      <c r="E21" s="228" t="str">
        <f ca="1">IF(ROWS($1:8)&gt;COUNT(Dong1),"",OFFSET(TH!F$1,SMALL(Dong1,ROWS($1:8)),))</f>
        <v>VAT Mực in</v>
      </c>
      <c r="F21" s="123" t="str">
        <f ca="1">IF(ROWS($1:8)&gt;COUNT(Dong1),"",IF(OFFSET(TH!M$1,SMALL(Dong1,ROWS($1:8)),)="1111",OFFSET(TH!L$1,SMALL(Dong1,ROWS($1:8)),),OFFSET(TH!M$1,SMALL(Dong1,ROWS($1:8)),)))</f>
        <v>1331</v>
      </c>
      <c r="G21" s="124">
        <f ca="1">IF(ROWS($1:8)&gt;COUNT(Dong1),"",IF(OFFSET(TH!L$1,SMALL(Dong1,ROWS($1:8)),)="1111",OFFSET(TH!K$1,SMALL(Dong1,ROWS($1:8)),),0))</f>
        <v>0</v>
      </c>
      <c r="H21" s="122">
        <f ca="1">IF(ROWS($1:8)&gt;COUNT(Dong1),"",IF(OFFSET(TH!M$1,SMALL(Dong1,ROWS($1:8)),)="1111",OFFSET(TH!K$1,SMALL(Dong1,ROWS($1:8)),),0))</f>
        <v>629000</v>
      </c>
      <c r="I21" s="120">
        <f t="shared" ca="1" si="0"/>
        <v>1782725000</v>
      </c>
      <c r="J21" s="125"/>
      <c r="N21" s="630"/>
      <c r="O21" s="630"/>
    </row>
    <row r="22" spans="1:15" ht="21.75" customHeight="1">
      <c r="A22" s="119">
        <f ca="1">IF(ROWS($1:9)&gt;COUNT(Dong1),"",OFFSET(TH!C$1,SMALL(Dong1,ROWS($1:9)),))</f>
        <v>42581</v>
      </c>
      <c r="B22" s="119">
        <f ca="1">IF(ROWS($1:9)&gt;COUNT(Dong1),"",OFFSET(TH!E$1,SMALL(Dong1,ROWS($1:9)),))</f>
        <v>42581</v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>C05</v>
      </c>
      <c r="E22" s="228" t="str">
        <f ca="1">IF(ROWS($1:9)&gt;COUNT(Dong1),"",OFFSET(TH!F$1,SMALL(Dong1,ROWS($1:9)),))</f>
        <v>Dầu Do</v>
      </c>
      <c r="F22" s="123" t="str">
        <f ca="1">IF(ROWS($1:9)&gt;COUNT(Dong1),"",IF(OFFSET(TH!M$1,SMALL(Dong1,ROWS($1:9)),)="1111",OFFSET(TH!L$1,SMALL(Dong1,ROWS($1:9)),),OFFSET(TH!M$1,SMALL(Dong1,ROWS($1:9)),)))</f>
        <v>641</v>
      </c>
      <c r="G22" s="124">
        <f ca="1">IF(ROWS($1:9)&gt;COUNT(Dong1),"",IF(OFFSET(TH!L$1,SMALL(Dong1,ROWS($1:9)),)="1111",OFFSET(TH!K$1,SMALL(Dong1,ROWS($1:9)),),0))</f>
        <v>0</v>
      </c>
      <c r="H22" s="122">
        <f ca="1">IF(ROWS($1:9)&gt;COUNT(Dong1),"",IF(OFFSET(TH!M$1,SMALL(Dong1,ROWS($1:9)),)="1111",OFFSET(TH!K$1,SMALL(Dong1,ROWS($1:9)),),0))</f>
        <v>2011090</v>
      </c>
      <c r="I22" s="120">
        <f t="shared" ca="1" si="0"/>
        <v>1780713910</v>
      </c>
      <c r="J22" s="125"/>
      <c r="N22" s="630"/>
      <c r="O22" s="630"/>
    </row>
    <row r="23" spans="1:15" ht="21.75" customHeight="1">
      <c r="A23" s="119">
        <f ca="1">IF(ROWS($1:10)&gt;COUNT(Dong1),"",OFFSET(TH!C$1,SMALL(Dong1,ROWS($1:10)),))</f>
        <v>42581</v>
      </c>
      <c r="B23" s="119">
        <f ca="1">IF(ROWS($1:10)&gt;COUNT(Dong1),"",OFFSET(TH!E$1,SMALL(Dong1,ROWS($1:10)),))</f>
        <v>42581</v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>C05</v>
      </c>
      <c r="E23" s="228" t="str">
        <f ca="1">IF(ROWS($1:10)&gt;COUNT(Dong1),"",OFFSET(TH!F$1,SMALL(Dong1,ROWS($1:10)),))</f>
        <v>VAT Dầu Do</v>
      </c>
      <c r="F23" s="123" t="str">
        <f ca="1">IF(ROWS($1:10)&gt;COUNT(Dong1),"",IF(OFFSET(TH!M$1,SMALL(Dong1,ROWS($1:10)),)="1111",OFFSET(TH!L$1,SMALL(Dong1,ROWS($1:10)),),OFFSET(TH!M$1,SMALL(Dong1,ROWS($1:10)),)))</f>
        <v>1331</v>
      </c>
      <c r="G23" s="124">
        <f ca="1">IF(ROWS($1:10)&gt;COUNT(Dong1),"",IF(OFFSET(TH!L$1,SMALL(Dong1,ROWS($1:10)),)="1111",OFFSET(TH!K$1,SMALL(Dong1,ROWS($1:10)),),0))</f>
        <v>0</v>
      </c>
      <c r="H23" s="122">
        <f ca="1">IF(ROWS($1:10)&gt;COUNT(Dong1),"",IF(OFFSET(TH!M$1,SMALL(Dong1,ROWS($1:10)),)="1111",OFFSET(TH!K$1,SMALL(Dong1,ROWS($1:10)),),0))</f>
        <v>201110</v>
      </c>
      <c r="I23" s="120">
        <f t="shared" ca="1" si="0"/>
        <v>1780512800</v>
      </c>
      <c r="J23" s="125"/>
      <c r="N23" s="630"/>
      <c r="O23" s="630"/>
    </row>
    <row r="24" spans="1:15" ht="21.75" customHeight="1">
      <c r="A24" s="119">
        <f ca="1">IF(ROWS($1:11)&gt;COUNT(Dong1),"",OFFSET(TH!C$1,SMALL(Dong1,ROWS($1:11)),))</f>
        <v>42581</v>
      </c>
      <c r="B24" s="119">
        <f ca="1">IF(ROWS($1:11)&gt;COUNT(Dong1),"",OFFSET(TH!E$1,SMALL(Dong1,ROWS($1:11)),))</f>
        <v>42581</v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>C06</v>
      </c>
      <c r="E24" s="228" t="str">
        <f ca="1">IF(ROWS($1:11)&gt;COUNT(Dong1),"",OFFSET(TH!F$1,SMALL(Dong1,ROWS($1:11)),))</f>
        <v>Phí sử dụng đường bộ</v>
      </c>
      <c r="F24" s="123" t="str">
        <f ca="1">IF(ROWS($1:11)&gt;COUNT(Dong1),"",IF(OFFSET(TH!M$1,SMALL(Dong1,ROWS($1:11)),)="1111",OFFSET(TH!L$1,SMALL(Dong1,ROWS($1:11)),),OFFSET(TH!M$1,SMALL(Dong1,ROWS($1:11)),)))</f>
        <v>641</v>
      </c>
      <c r="G24" s="124">
        <f ca="1">IF(ROWS($1:11)&gt;COUNT(Dong1),"",IF(OFFSET(TH!L$1,SMALL(Dong1,ROWS($1:11)),)="1111",OFFSET(TH!K$1,SMALL(Dong1,ROWS($1:11)),),0))</f>
        <v>0</v>
      </c>
      <c r="H24" s="122">
        <f ca="1">IF(ROWS($1:11)&gt;COUNT(Dong1),"",IF(OFFSET(TH!M$1,SMALL(Dong1,ROWS($1:11)),)="1111",OFFSET(TH!K$1,SMALL(Dong1,ROWS($1:11)),),0))</f>
        <v>331818</v>
      </c>
      <c r="I24" s="120">
        <f t="shared" ca="1" si="0"/>
        <v>1780180982</v>
      </c>
      <c r="J24" s="125"/>
      <c r="N24" s="630"/>
      <c r="O24" s="630"/>
    </row>
    <row r="25" spans="1:15" ht="21.75" customHeight="1">
      <c r="A25" s="119">
        <f ca="1">IF(ROWS($1:12)&gt;COUNT(Dong1),"",OFFSET(TH!C$1,SMALL(Dong1,ROWS($1:12)),))</f>
        <v>42581</v>
      </c>
      <c r="B25" s="119">
        <f ca="1">IF(ROWS($1:12)&gt;COUNT(Dong1),"",OFFSET(TH!E$1,SMALL(Dong1,ROWS($1:12)),))</f>
        <v>42581</v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>C06</v>
      </c>
      <c r="E25" s="228" t="str">
        <f ca="1">IF(ROWS($1:12)&gt;COUNT(Dong1),"",OFFSET(TH!F$1,SMALL(Dong1,ROWS($1:12)),))</f>
        <v>VAT Phí sử dụng đường bộ</v>
      </c>
      <c r="F25" s="123" t="str">
        <f ca="1">IF(ROWS($1:12)&gt;COUNT(Dong1),"",IF(OFFSET(TH!M$1,SMALL(Dong1,ROWS($1:12)),)="1111",OFFSET(TH!L$1,SMALL(Dong1,ROWS($1:12)),),OFFSET(TH!M$1,SMALL(Dong1,ROWS($1:12)),)))</f>
        <v>1331</v>
      </c>
      <c r="G25" s="124">
        <f ca="1">IF(ROWS($1:12)&gt;COUNT(Dong1),"",IF(OFFSET(TH!L$1,SMALL(Dong1,ROWS($1:12)),)="1111",OFFSET(TH!K$1,SMALL(Dong1,ROWS($1:12)),),0))</f>
        <v>0</v>
      </c>
      <c r="H25" s="122">
        <f ca="1">IF(ROWS($1:12)&gt;COUNT(Dong1),"",IF(OFFSET(TH!M$1,SMALL(Dong1,ROWS($1:12)),)="1111",OFFSET(TH!K$1,SMALL(Dong1,ROWS($1:12)),),0))</f>
        <v>33182</v>
      </c>
      <c r="I25" s="120">
        <f t="shared" ca="1" si="0"/>
        <v>1780147800</v>
      </c>
      <c r="J25" s="125"/>
      <c r="N25" s="630"/>
      <c r="O25" s="630"/>
    </row>
    <row r="26" spans="1:15" ht="21.75" customHeight="1">
      <c r="A26" s="119">
        <f ca="1">IF(ROWS($1:13)&gt;COUNT(Dong1),"",OFFSET(TH!C$1,SMALL(Dong1,ROWS($1:13)),))</f>
        <v>42590</v>
      </c>
      <c r="B26" s="119">
        <f ca="1">IF(ROWS($1:13)&gt;COUNT(Dong1),"",OFFSET(TH!E$1,SMALL(Dong1,ROWS($1:13)),))</f>
        <v>42590</v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>C07</v>
      </c>
      <c r="E26" s="228" t="str">
        <f ca="1">IF(ROWS($1:13)&gt;COUNT(Dong1),"",OFFSET(TH!F$1,SMALL(Dong1,ROWS($1:13)),))</f>
        <v>Khuông hộp</v>
      </c>
      <c r="F26" s="123" t="str">
        <f ca="1">IF(ROWS($1:13)&gt;COUNT(Dong1),"",IF(OFFSET(TH!M$1,SMALL(Dong1,ROWS($1:13)),)="1111",OFFSET(TH!L$1,SMALL(Dong1,ROWS($1:13)),),OFFSET(TH!M$1,SMALL(Dong1,ROWS($1:13)),)))</f>
        <v>642</v>
      </c>
      <c r="G26" s="124">
        <f ca="1">IF(ROWS($1:13)&gt;COUNT(Dong1),"",IF(OFFSET(TH!L$1,SMALL(Dong1,ROWS($1:13)),)="1111",OFFSET(TH!K$1,SMALL(Dong1,ROWS($1:13)),),0))</f>
        <v>0</v>
      </c>
      <c r="H26" s="122">
        <f ca="1">IF(ROWS($1:13)&gt;COUNT(Dong1),"",IF(OFFSET(TH!M$1,SMALL(Dong1,ROWS($1:13)),)="1111",OFFSET(TH!K$1,SMALL(Dong1,ROWS($1:13)),),0))</f>
        <v>1400000</v>
      </c>
      <c r="I26" s="120">
        <f t="shared" ca="1" si="0"/>
        <v>1778747800</v>
      </c>
      <c r="J26" s="125"/>
      <c r="N26" s="630"/>
      <c r="O26" s="630"/>
    </row>
    <row r="27" spans="1:15" ht="21.75" customHeight="1">
      <c r="A27" s="119">
        <f ca="1">IF(ROWS($1:14)&gt;COUNT(Dong1),"",OFFSET(TH!C$1,SMALL(Dong1,ROWS($1:14)),))</f>
        <v>42590</v>
      </c>
      <c r="B27" s="119">
        <f ca="1">IF(ROWS($1:14)&gt;COUNT(Dong1),"",OFFSET(TH!E$1,SMALL(Dong1,ROWS($1:14)),))</f>
        <v>42590</v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>C07</v>
      </c>
      <c r="E27" s="228" t="str">
        <f ca="1">IF(ROWS($1:14)&gt;COUNT(Dong1),"",OFFSET(TH!F$1,SMALL(Dong1,ROWS($1:14)),))</f>
        <v>VAT Khuông hộp</v>
      </c>
      <c r="F27" s="123" t="str">
        <f ca="1">IF(ROWS($1:14)&gt;COUNT(Dong1),"",IF(OFFSET(TH!M$1,SMALL(Dong1,ROWS($1:14)),)="1111",OFFSET(TH!L$1,SMALL(Dong1,ROWS($1:14)),),OFFSET(TH!M$1,SMALL(Dong1,ROWS($1:14)),)))</f>
        <v>1331</v>
      </c>
      <c r="G27" s="124">
        <f ca="1">IF(ROWS($1:14)&gt;COUNT(Dong1),"",IF(OFFSET(TH!L$1,SMALL(Dong1,ROWS($1:14)),)="1111",OFFSET(TH!K$1,SMALL(Dong1,ROWS($1:14)),),0))</f>
        <v>0</v>
      </c>
      <c r="H27" s="122">
        <f ca="1">IF(ROWS($1:14)&gt;COUNT(Dong1),"",IF(OFFSET(TH!M$1,SMALL(Dong1,ROWS($1:14)),)="1111",OFFSET(TH!K$1,SMALL(Dong1,ROWS($1:14)),),0))</f>
        <v>140000</v>
      </c>
      <c r="I27" s="120">
        <f t="shared" ca="1" si="0"/>
        <v>1778607800</v>
      </c>
      <c r="J27" s="125"/>
      <c r="N27" s="630"/>
      <c r="O27" s="630"/>
    </row>
    <row r="28" spans="1:15" ht="21.75" customHeight="1">
      <c r="A28" s="119">
        <f ca="1">IF(ROWS($1:15)&gt;COUNT(Dong1),"",OFFSET(TH!C$1,SMALL(Dong1,ROWS($1:15)),))</f>
        <v>42595</v>
      </c>
      <c r="B28" s="119">
        <f ca="1">IF(ROWS($1:15)&gt;COUNT(Dong1),"",OFFSET(TH!E$1,SMALL(Dong1,ROWS($1:15)),))</f>
        <v>42595</v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>C07</v>
      </c>
      <c r="E28" s="228" t="str">
        <f ca="1">IF(ROWS($1:15)&gt;COUNT(Dong1),"",OFFSET(TH!F$1,SMALL(Dong1,ROWS($1:15)),))</f>
        <v>Thanh toán tiền hàng</v>
      </c>
      <c r="F28" s="123" t="str">
        <f ca="1">IF(ROWS($1:15)&gt;COUNT(Dong1),"",IF(OFFSET(TH!M$1,SMALL(Dong1,ROWS($1:15)),)="1111",OFFSET(TH!L$1,SMALL(Dong1,ROWS($1:15)),),OFFSET(TH!M$1,SMALL(Dong1,ROWS($1:15)),)))</f>
        <v>331</v>
      </c>
      <c r="G28" s="124">
        <f ca="1">IF(ROWS($1:15)&gt;COUNT(Dong1),"",IF(OFFSET(TH!L$1,SMALL(Dong1,ROWS($1:15)),)="1111",OFFSET(TH!K$1,SMALL(Dong1,ROWS($1:15)),),0))</f>
        <v>0</v>
      </c>
      <c r="H28" s="122">
        <f ca="1">IF(ROWS($1:15)&gt;COUNT(Dong1),"",IF(OFFSET(TH!M$1,SMALL(Dong1,ROWS($1:15)),)="1111",OFFSET(TH!K$1,SMALL(Dong1,ROWS($1:15)),),0))</f>
        <v>16996980</v>
      </c>
      <c r="I28" s="120">
        <f t="shared" ca="1" si="0"/>
        <v>1761610820</v>
      </c>
      <c r="J28" s="125"/>
      <c r="N28" s="630"/>
      <c r="O28" s="630"/>
    </row>
    <row r="29" spans="1:15" ht="21.75" customHeight="1">
      <c r="A29" s="119">
        <f ca="1">IF(ROWS($1:16)&gt;COUNT(Dong1),"",OFFSET(TH!C$1,SMALL(Dong1,ROWS($1:16)),))</f>
        <v>42604</v>
      </c>
      <c r="B29" s="119">
        <f ca="1">IF(ROWS($1:16)&gt;COUNT(Dong1),"",OFFSET(TH!E$1,SMALL(Dong1,ROWS($1:16)),))</f>
        <v>42604</v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>C09</v>
      </c>
      <c r="E29" s="228" t="str">
        <f ca="1">IF(ROWS($1:16)&gt;COUNT(Dong1),"",OFFSET(TH!F$1,SMALL(Dong1,ROWS($1:16)),))</f>
        <v>Khuông hộp</v>
      </c>
      <c r="F29" s="123" t="str">
        <f ca="1">IF(ROWS($1:16)&gt;COUNT(Dong1),"",IF(OFFSET(TH!M$1,SMALL(Dong1,ROWS($1:16)),)="1111",OFFSET(TH!L$1,SMALL(Dong1,ROWS($1:16)),),OFFSET(TH!M$1,SMALL(Dong1,ROWS($1:16)),)))</f>
        <v>642</v>
      </c>
      <c r="G29" s="124">
        <f ca="1">IF(ROWS($1:16)&gt;COUNT(Dong1),"",IF(OFFSET(TH!L$1,SMALL(Dong1,ROWS($1:16)),)="1111",OFFSET(TH!K$1,SMALL(Dong1,ROWS($1:16)),),0))</f>
        <v>0</v>
      </c>
      <c r="H29" s="122">
        <f ca="1">IF(ROWS($1:16)&gt;COUNT(Dong1),"",IF(OFFSET(TH!M$1,SMALL(Dong1,ROWS($1:16)),)="1111",OFFSET(TH!K$1,SMALL(Dong1,ROWS($1:16)),),0))</f>
        <v>1840000</v>
      </c>
      <c r="I29" s="120">
        <f t="shared" ca="1" si="0"/>
        <v>1759770820</v>
      </c>
      <c r="J29" s="125"/>
      <c r="N29" s="630"/>
      <c r="O29" s="630"/>
    </row>
    <row r="30" spans="1:15" ht="21.75" customHeight="1">
      <c r="A30" s="119">
        <f ca="1">IF(ROWS($1:17)&gt;COUNT(Dong1),"",OFFSET(TH!C$1,SMALL(Dong1,ROWS($1:17)),))</f>
        <v>42604</v>
      </c>
      <c r="B30" s="119">
        <f ca="1">IF(ROWS($1:17)&gt;COUNT(Dong1),"",OFFSET(TH!E$1,SMALL(Dong1,ROWS($1:17)),))</f>
        <v>42604</v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>C09</v>
      </c>
      <c r="E30" s="228" t="str">
        <f ca="1">IF(ROWS($1:17)&gt;COUNT(Dong1),"",OFFSET(TH!F$1,SMALL(Dong1,ROWS($1:17)),))</f>
        <v>VAT Khuông hộp</v>
      </c>
      <c r="F30" s="123" t="str">
        <f ca="1">IF(ROWS($1:17)&gt;COUNT(Dong1),"",IF(OFFSET(TH!M$1,SMALL(Dong1,ROWS($1:17)),)="1111",OFFSET(TH!L$1,SMALL(Dong1,ROWS($1:17)),),OFFSET(TH!M$1,SMALL(Dong1,ROWS($1:17)),)))</f>
        <v>1331</v>
      </c>
      <c r="G30" s="124">
        <f ca="1">IF(ROWS($1:17)&gt;COUNT(Dong1),"",IF(OFFSET(TH!L$1,SMALL(Dong1,ROWS($1:17)),)="1111",OFFSET(TH!K$1,SMALL(Dong1,ROWS($1:17)),),0))</f>
        <v>0</v>
      </c>
      <c r="H30" s="122">
        <f ca="1">IF(ROWS($1:17)&gt;COUNT(Dong1),"",IF(OFFSET(TH!M$1,SMALL(Dong1,ROWS($1:17)),)="1111",OFFSET(TH!K$1,SMALL(Dong1,ROWS($1:17)),),0))</f>
        <v>184000</v>
      </c>
      <c r="I30" s="120">
        <f t="shared" ca="1" si="0"/>
        <v>1759586820</v>
      </c>
      <c r="J30" s="125"/>
      <c r="N30" s="630"/>
      <c r="O30" s="630"/>
    </row>
    <row r="31" spans="1:15" ht="21.75" customHeight="1">
      <c r="A31" s="119">
        <f ca="1">IF(ROWS($1:18)&gt;COUNT(Dong1),"",OFFSET(TH!C$1,SMALL(Dong1,ROWS($1:18)),))</f>
        <v>42613</v>
      </c>
      <c r="B31" s="119">
        <f ca="1">IF(ROWS($1:18)&gt;COUNT(Dong1),"",OFFSET(TH!E$1,SMALL(Dong1,ROWS($1:18)),))</f>
        <v>42613</v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>C10</v>
      </c>
      <c r="E31" s="228" t="str">
        <f ca="1">IF(ROWS($1:18)&gt;COUNT(Dong1),"",OFFSET(TH!F$1,SMALL(Dong1,ROWS($1:18)),))</f>
        <v>Thanh toán tiền hàng</v>
      </c>
      <c r="F31" s="123" t="str">
        <f ca="1">IF(ROWS($1:18)&gt;COUNT(Dong1),"",IF(OFFSET(TH!M$1,SMALL(Dong1,ROWS($1:18)),)="1111",OFFSET(TH!L$1,SMALL(Dong1,ROWS($1:18)),),OFFSET(TH!M$1,SMALL(Dong1,ROWS($1:18)),)))</f>
        <v>331</v>
      </c>
      <c r="G31" s="124">
        <f ca="1">IF(ROWS($1:18)&gt;COUNT(Dong1),"",IF(OFFSET(TH!L$1,SMALL(Dong1,ROWS($1:18)),)="1111",OFFSET(TH!K$1,SMALL(Dong1,ROWS($1:18)),),0))</f>
        <v>0</v>
      </c>
      <c r="H31" s="122">
        <f ca="1">IF(ROWS($1:18)&gt;COUNT(Dong1),"",IF(OFFSET(TH!M$1,SMALL(Dong1,ROWS($1:18)),)="1111",OFFSET(TH!K$1,SMALL(Dong1,ROWS($1:18)),),0))</f>
        <v>11008140</v>
      </c>
      <c r="I31" s="120">
        <f t="shared" ca="1" si="0"/>
        <v>1748578680</v>
      </c>
      <c r="J31" s="125"/>
      <c r="N31" s="630"/>
      <c r="O31" s="630"/>
    </row>
    <row r="32" spans="1:15" ht="21.75" customHeight="1">
      <c r="A32" s="119">
        <f ca="1">IF(ROWS($1:19)&gt;COUNT(Dong1),"",OFFSET(TH!C$1,SMALL(Dong1,ROWS($1:19)),))</f>
        <v>42613</v>
      </c>
      <c r="B32" s="119">
        <f ca="1">IF(ROWS($1:19)&gt;COUNT(Dong1),"",OFFSET(TH!E$1,SMALL(Dong1,ROWS($1:19)),))</f>
        <v>42613</v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>C06</v>
      </c>
      <c r="E32" s="228" t="str">
        <f ca="1">IF(ROWS($1:19)&gt;COUNT(Dong1),"",OFFSET(TH!F$1,SMALL(Dong1,ROWS($1:19)),))</f>
        <v>Phí sử dụng đường bộ</v>
      </c>
      <c r="F32" s="123" t="str">
        <f ca="1">IF(ROWS($1:19)&gt;COUNT(Dong1),"",IF(OFFSET(TH!M$1,SMALL(Dong1,ROWS($1:19)),)="1111",OFFSET(TH!L$1,SMALL(Dong1,ROWS($1:19)),),OFFSET(TH!M$1,SMALL(Dong1,ROWS($1:19)),)))</f>
        <v>641</v>
      </c>
      <c r="G32" s="124">
        <f ca="1">IF(ROWS($1:19)&gt;COUNT(Dong1),"",IF(OFFSET(TH!L$1,SMALL(Dong1,ROWS($1:19)),)="1111",OFFSET(TH!K$1,SMALL(Dong1,ROWS($1:19)),),0))</f>
        <v>0</v>
      </c>
      <c r="H32" s="122">
        <f ca="1">IF(ROWS($1:19)&gt;COUNT(Dong1),"",IF(OFFSET(TH!M$1,SMALL(Dong1,ROWS($1:19)),)="1111",OFFSET(TH!K$1,SMALL(Dong1,ROWS($1:19)),),0))</f>
        <v>554545</v>
      </c>
      <c r="I32" s="120">
        <f t="shared" ca="1" si="0"/>
        <v>1748024135</v>
      </c>
      <c r="J32" s="125"/>
      <c r="N32" s="630"/>
      <c r="O32" s="630"/>
    </row>
    <row r="33" spans="1:15" ht="21.75" customHeight="1">
      <c r="A33" s="119">
        <f ca="1">IF(ROWS($1:20)&gt;COUNT(Dong1),"",OFFSET(TH!C$1,SMALL(Dong1,ROWS($1:20)),))</f>
        <v>42613</v>
      </c>
      <c r="B33" s="119">
        <f ca="1">IF(ROWS($1:20)&gt;COUNT(Dong1),"",OFFSET(TH!E$1,SMALL(Dong1,ROWS($1:20)),))</f>
        <v>42613</v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>C06</v>
      </c>
      <c r="E33" s="228" t="str">
        <f ca="1">IF(ROWS($1:20)&gt;COUNT(Dong1),"",OFFSET(TH!F$1,SMALL(Dong1,ROWS($1:20)),))</f>
        <v>VAT Phí sử dụng đường bộ</v>
      </c>
      <c r="F33" s="123" t="str">
        <f ca="1">IF(ROWS($1:20)&gt;COUNT(Dong1),"",IF(OFFSET(TH!M$1,SMALL(Dong1,ROWS($1:20)),)="1111",OFFSET(TH!L$1,SMALL(Dong1,ROWS($1:20)),),OFFSET(TH!M$1,SMALL(Dong1,ROWS($1:20)),)))</f>
        <v>1331</v>
      </c>
      <c r="G33" s="124">
        <f ca="1">IF(ROWS($1:20)&gt;COUNT(Dong1),"",IF(OFFSET(TH!L$1,SMALL(Dong1,ROWS($1:20)),)="1111",OFFSET(TH!K$1,SMALL(Dong1,ROWS($1:20)),),0))</f>
        <v>0</v>
      </c>
      <c r="H33" s="122">
        <f ca="1">IF(ROWS($1:20)&gt;COUNT(Dong1),"",IF(OFFSET(TH!M$1,SMALL(Dong1,ROWS($1:20)),)="1111",OFFSET(TH!K$1,SMALL(Dong1,ROWS($1:20)),),0))</f>
        <v>55455</v>
      </c>
      <c r="I33" s="120">
        <f t="shared" ca="1" si="0"/>
        <v>1747968680</v>
      </c>
      <c r="J33" s="125"/>
      <c r="N33" s="630"/>
      <c r="O33" s="630"/>
    </row>
    <row r="34" spans="1:15" ht="21.75" customHeight="1">
      <c r="A34" s="119">
        <f ca="1">IF(ROWS($1:21)&gt;COUNT(Dong1),"",OFFSET(TH!C$1,SMALL(Dong1,ROWS($1:21)),))</f>
        <v>42620</v>
      </c>
      <c r="B34" s="119">
        <f ca="1">IF(ROWS($1:21)&gt;COUNT(Dong1),"",OFFSET(TH!E$1,SMALL(Dong1,ROWS($1:21)),))</f>
        <v>42620</v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>C11</v>
      </c>
      <c r="E34" s="228" t="str">
        <f ca="1">IF(ROWS($1:21)&gt;COUNT(Dong1),"",OFFSET(TH!F$1,SMALL(Dong1,ROWS($1:21)),))</f>
        <v>Dầu Do</v>
      </c>
      <c r="F34" s="123" t="str">
        <f ca="1">IF(ROWS($1:21)&gt;COUNT(Dong1),"",IF(OFFSET(TH!M$1,SMALL(Dong1,ROWS($1:21)),)="1111",OFFSET(TH!L$1,SMALL(Dong1,ROWS($1:21)),),OFFSET(TH!M$1,SMALL(Dong1,ROWS($1:21)),)))</f>
        <v>641</v>
      </c>
      <c r="G34" s="124">
        <f ca="1">IF(ROWS($1:21)&gt;COUNT(Dong1),"",IF(OFFSET(TH!L$1,SMALL(Dong1,ROWS($1:21)),)="1111",OFFSET(TH!K$1,SMALL(Dong1,ROWS($1:21)),),0))</f>
        <v>0</v>
      </c>
      <c r="H34" s="122">
        <f ca="1">IF(ROWS($1:21)&gt;COUNT(Dong1),"",IF(OFFSET(TH!M$1,SMALL(Dong1,ROWS($1:21)),)="1111",OFFSET(TH!K$1,SMALL(Dong1,ROWS($1:21)),),0))</f>
        <v>5638527</v>
      </c>
      <c r="I34" s="120">
        <f t="shared" ca="1" si="0"/>
        <v>1742330153</v>
      </c>
      <c r="J34" s="125"/>
      <c r="N34" s="630"/>
      <c r="O34" s="630"/>
    </row>
    <row r="35" spans="1:15" ht="21.75" customHeight="1">
      <c r="A35" s="119">
        <f ca="1">IF(ROWS($1:22)&gt;COUNT(Dong1),"",OFFSET(TH!C$1,SMALL(Dong1,ROWS($1:22)),))</f>
        <v>42620</v>
      </c>
      <c r="B35" s="119">
        <f ca="1">IF(ROWS($1:22)&gt;COUNT(Dong1),"",OFFSET(TH!E$1,SMALL(Dong1,ROWS($1:22)),))</f>
        <v>42620</v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>C11</v>
      </c>
      <c r="E35" s="228" t="str">
        <f ca="1">IF(ROWS($1:22)&gt;COUNT(Dong1),"",OFFSET(TH!F$1,SMALL(Dong1,ROWS($1:22)),))</f>
        <v>VAT Dầu Do</v>
      </c>
      <c r="F35" s="123" t="str">
        <f ca="1">IF(ROWS($1:22)&gt;COUNT(Dong1),"",IF(OFFSET(TH!M$1,SMALL(Dong1,ROWS($1:22)),)="1111",OFFSET(TH!L$1,SMALL(Dong1,ROWS($1:22)),),OFFSET(TH!M$1,SMALL(Dong1,ROWS($1:22)),)))</f>
        <v>1331</v>
      </c>
      <c r="G35" s="124">
        <f ca="1">IF(ROWS($1:22)&gt;COUNT(Dong1),"",IF(OFFSET(TH!L$1,SMALL(Dong1,ROWS($1:22)),)="1111",OFFSET(TH!K$1,SMALL(Dong1,ROWS($1:22)),),0))</f>
        <v>0</v>
      </c>
      <c r="H35" s="122">
        <f ca="1">IF(ROWS($1:22)&gt;COUNT(Dong1),"",IF(OFFSET(TH!M$1,SMALL(Dong1,ROWS($1:22)),)="1111",OFFSET(TH!K$1,SMALL(Dong1,ROWS($1:22)),),0))</f>
        <v>563853</v>
      </c>
      <c r="I35" s="120">
        <f t="shared" ca="1" si="0"/>
        <v>1741766300</v>
      </c>
      <c r="J35" s="125"/>
      <c r="N35" s="630"/>
      <c r="O35" s="630"/>
    </row>
    <row r="36" spans="1:15" ht="21.75" customHeight="1">
      <c r="A36" s="119">
        <f ca="1">IF(ROWS($1:23)&gt;COUNT(Dong1),"",OFFSET(TH!C$1,SMALL(Dong1,ROWS($1:23)),))</f>
        <v>42622</v>
      </c>
      <c r="B36" s="119">
        <f ca="1">IF(ROWS($1:23)&gt;COUNT(Dong1),"",OFFSET(TH!E$1,SMALL(Dong1,ROWS($1:23)),))</f>
        <v>42622</v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>C12</v>
      </c>
      <c r="E36" s="228" t="str">
        <f ca="1">IF(ROWS($1:23)&gt;COUNT(Dong1),"",OFFSET(TH!F$1,SMALL(Dong1,ROWS($1:23)),))</f>
        <v>Mực in</v>
      </c>
      <c r="F36" s="123" t="str">
        <f ca="1">IF(ROWS($1:23)&gt;COUNT(Dong1),"",IF(OFFSET(TH!M$1,SMALL(Dong1,ROWS($1:23)),)="1111",OFFSET(TH!L$1,SMALL(Dong1,ROWS($1:23)),),OFFSET(TH!M$1,SMALL(Dong1,ROWS($1:23)),)))</f>
        <v>154</v>
      </c>
      <c r="G36" s="124">
        <f ca="1">IF(ROWS($1:23)&gt;COUNT(Dong1),"",IF(OFFSET(TH!L$1,SMALL(Dong1,ROWS($1:23)),)="1111",OFFSET(TH!K$1,SMALL(Dong1,ROWS($1:23)),),0))</f>
        <v>0</v>
      </c>
      <c r="H36" s="122">
        <f ca="1">IF(ROWS($1:23)&gt;COUNT(Dong1),"",IF(OFFSET(TH!M$1,SMALL(Dong1,ROWS($1:23)),)="1111",OFFSET(TH!K$1,SMALL(Dong1,ROWS($1:23)),),0))</f>
        <v>1760000</v>
      </c>
      <c r="I36" s="120">
        <f t="shared" ca="1" si="0"/>
        <v>1740006300</v>
      </c>
      <c r="J36" s="125"/>
      <c r="N36" s="630"/>
      <c r="O36" s="630"/>
    </row>
    <row r="37" spans="1:15" ht="21.75" customHeight="1">
      <c r="A37" s="119">
        <f ca="1">IF(ROWS($1:24)&gt;COUNT(Dong1),"",OFFSET(TH!C$1,SMALL(Dong1,ROWS($1:24)),))</f>
        <v>42622</v>
      </c>
      <c r="B37" s="119">
        <f ca="1">IF(ROWS($1:24)&gt;COUNT(Dong1),"",OFFSET(TH!E$1,SMALL(Dong1,ROWS($1:24)),))</f>
        <v>42622</v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>C12</v>
      </c>
      <c r="E37" s="228" t="str">
        <f ca="1">IF(ROWS($1:24)&gt;COUNT(Dong1),"",OFFSET(TH!F$1,SMALL(Dong1,ROWS($1:24)),))</f>
        <v>VAT Mực in</v>
      </c>
      <c r="F37" s="123" t="str">
        <f ca="1">IF(ROWS($1:24)&gt;COUNT(Dong1),"",IF(OFFSET(TH!M$1,SMALL(Dong1,ROWS($1:24)),)="1111",OFFSET(TH!L$1,SMALL(Dong1,ROWS($1:24)),),OFFSET(TH!M$1,SMALL(Dong1,ROWS($1:24)),)))</f>
        <v>1331</v>
      </c>
      <c r="G37" s="124">
        <f ca="1">IF(ROWS($1:24)&gt;COUNT(Dong1),"",IF(OFFSET(TH!L$1,SMALL(Dong1,ROWS($1:24)),)="1111",OFFSET(TH!K$1,SMALL(Dong1,ROWS($1:24)),),0))</f>
        <v>0</v>
      </c>
      <c r="H37" s="122">
        <f ca="1">IF(ROWS($1:24)&gt;COUNT(Dong1),"",IF(OFFSET(TH!M$1,SMALL(Dong1,ROWS($1:24)),)="1111",OFFSET(TH!K$1,SMALL(Dong1,ROWS($1:24)),),0))</f>
        <v>176000</v>
      </c>
      <c r="I37" s="120">
        <f t="shared" ca="1" si="0"/>
        <v>1739830300</v>
      </c>
      <c r="J37" s="125"/>
      <c r="N37" s="630"/>
      <c r="O37" s="630"/>
    </row>
    <row r="38" spans="1:15" ht="21.75" customHeight="1">
      <c r="A38" s="119">
        <f ca="1">IF(ROWS($1:25)&gt;COUNT(Dong1),"",OFFSET(TH!C$1,SMALL(Dong1,ROWS($1:25)),))</f>
        <v>42643</v>
      </c>
      <c r="B38" s="119">
        <f ca="1">IF(ROWS($1:25)&gt;COUNT(Dong1),"",OFFSET(TH!E$1,SMALL(Dong1,ROWS($1:25)),))</f>
        <v>42643</v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>C06</v>
      </c>
      <c r="E38" s="228" t="str">
        <f ca="1">IF(ROWS($1:25)&gt;COUNT(Dong1),"",OFFSET(TH!F$1,SMALL(Dong1,ROWS($1:25)),))</f>
        <v>Phí sử dụng đường bộ</v>
      </c>
      <c r="F38" s="123" t="str">
        <f ca="1">IF(ROWS($1:25)&gt;COUNT(Dong1),"",IF(OFFSET(TH!M$1,SMALL(Dong1,ROWS($1:25)),)="1111",OFFSET(TH!L$1,SMALL(Dong1,ROWS($1:25)),),OFFSET(TH!M$1,SMALL(Dong1,ROWS($1:25)),)))</f>
        <v>641</v>
      </c>
      <c r="G38" s="124">
        <f ca="1">IF(ROWS($1:25)&gt;COUNT(Dong1),"",IF(OFFSET(TH!L$1,SMALL(Dong1,ROWS($1:25)),)="1111",OFFSET(TH!K$1,SMALL(Dong1,ROWS($1:25)),),0))</f>
        <v>0</v>
      </c>
      <c r="H38" s="122">
        <f ca="1">IF(ROWS($1:25)&gt;COUNT(Dong1),"",IF(OFFSET(TH!M$1,SMALL(Dong1,ROWS($1:25)),)="1111",OFFSET(TH!K$1,SMALL(Dong1,ROWS($1:25)),),0))</f>
        <v>399999.99999999994</v>
      </c>
      <c r="I38" s="120">
        <f t="shared" ca="1" si="0"/>
        <v>1739430300</v>
      </c>
      <c r="J38" s="125"/>
      <c r="N38" s="630"/>
      <c r="O38" s="630"/>
    </row>
    <row r="39" spans="1:15" ht="21.75" customHeight="1">
      <c r="A39" s="119">
        <f ca="1">IF(ROWS($1:26)&gt;COUNT(Dong1),"",OFFSET(TH!C$1,SMALL(Dong1,ROWS($1:26)),))</f>
        <v>42643</v>
      </c>
      <c r="B39" s="119">
        <f ca="1">IF(ROWS($1:26)&gt;COUNT(Dong1),"",OFFSET(TH!E$1,SMALL(Dong1,ROWS($1:26)),))</f>
        <v>42643</v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>C06</v>
      </c>
      <c r="E39" s="228" t="str">
        <f ca="1">IF(ROWS($1:26)&gt;COUNT(Dong1),"",OFFSET(TH!F$1,SMALL(Dong1,ROWS($1:26)),))</f>
        <v>VAT Phí sử dụng đường bộ</v>
      </c>
      <c r="F39" s="123" t="str">
        <f ca="1">IF(ROWS($1:26)&gt;COUNT(Dong1),"",IF(OFFSET(TH!M$1,SMALL(Dong1,ROWS($1:26)),)="1111",OFFSET(TH!L$1,SMALL(Dong1,ROWS($1:26)),),OFFSET(TH!M$1,SMALL(Dong1,ROWS($1:26)),)))</f>
        <v>1331</v>
      </c>
      <c r="G39" s="124">
        <f ca="1">IF(ROWS($1:26)&gt;COUNT(Dong1),"",IF(OFFSET(TH!L$1,SMALL(Dong1,ROWS($1:26)),)="1111",OFFSET(TH!K$1,SMALL(Dong1,ROWS($1:26)),),0))</f>
        <v>0</v>
      </c>
      <c r="H39" s="122">
        <f ca="1">IF(ROWS($1:26)&gt;COUNT(Dong1),"",IF(OFFSET(TH!M$1,SMALL(Dong1,ROWS($1:26)),)="1111",OFFSET(TH!K$1,SMALL(Dong1,ROWS($1:26)),),0))</f>
        <v>40000</v>
      </c>
      <c r="I39" s="120">
        <f t="shared" ca="1" si="0"/>
        <v>1739390300</v>
      </c>
      <c r="J39" s="125"/>
      <c r="N39" s="630"/>
      <c r="O39" s="630"/>
    </row>
    <row r="40" spans="1:15" ht="21.75" customHeight="1">
      <c r="A40" s="119">
        <f ca="1">IF(ROWS($1:27)&gt;COUNT(Dong1),"",OFFSET(TH!C$1,SMALL(Dong1,ROWS($1:27)),))</f>
        <v>42559</v>
      </c>
      <c r="B40" s="119">
        <f ca="1">IF(ROWS($1:27)&gt;COUNT(Dong1),"",OFFSET(TH!E$1,SMALL(Dong1,ROWS($1:27)),))</f>
        <v>42559</v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>GBC</v>
      </c>
      <c r="E40" s="228" t="str">
        <f ca="1">IF(ROWS($1:27)&gt;COUNT(Dong1),"",OFFSET(TH!F$1,SMALL(Dong1,ROWS($1:27)),))</f>
        <v>Nộp tiền mặt</v>
      </c>
      <c r="F40" s="123" t="str">
        <f ca="1">IF(ROWS($1:27)&gt;COUNT(Dong1),"",IF(OFFSET(TH!M$1,SMALL(Dong1,ROWS($1:27)),)="1111",OFFSET(TH!L$1,SMALL(Dong1,ROWS($1:27)),),OFFSET(TH!M$1,SMALL(Dong1,ROWS($1:27)),)))</f>
        <v>1121</v>
      </c>
      <c r="G40" s="124">
        <f ca="1">IF(ROWS($1:27)&gt;COUNT(Dong1),"",IF(OFFSET(TH!L$1,SMALL(Dong1,ROWS($1:27)),)="1111",OFFSET(TH!K$1,SMALL(Dong1,ROWS($1:27)),),0))</f>
        <v>0</v>
      </c>
      <c r="H40" s="122">
        <f ca="1">IF(ROWS($1:27)&gt;COUNT(Dong1),"",IF(OFFSET(TH!M$1,SMALL(Dong1,ROWS($1:27)),)="1111",OFFSET(TH!K$1,SMALL(Dong1,ROWS($1:27)),),0))</f>
        <v>40700000</v>
      </c>
      <c r="I40" s="120">
        <f t="shared" ca="1" si="0"/>
        <v>1698690300</v>
      </c>
      <c r="J40" s="125"/>
      <c r="N40" s="630"/>
      <c r="O40" s="630"/>
    </row>
    <row r="41" spans="1:15" ht="21.75" customHeight="1">
      <c r="A41" s="119">
        <f ca="1">IF(ROWS($1:28)&gt;COUNT(Dong1),"",OFFSET(TH!C$1,SMALL(Dong1,ROWS($1:28)),))</f>
        <v>42580</v>
      </c>
      <c r="B41" s="119">
        <f ca="1">IF(ROWS($1:28)&gt;COUNT(Dong1),"",OFFSET(TH!E$1,SMALL(Dong1,ROWS($1:28)),))</f>
        <v>42580</v>
      </c>
      <c r="C41" s="120" t="str">
        <f ca="1">IF(ROWS($1:28)&gt;COUNT(Dong1),"",IF(OFFSET(TH!L$1,SMALL(Dong1,ROWS($1:28)),)="1111",OFFSET(TH!D$1,SMALL(Dong1,ROWS($1:28)),),""))</f>
        <v>GBN</v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>Rút tiền mặt</v>
      </c>
      <c r="F41" s="123" t="str">
        <f ca="1">IF(ROWS($1:28)&gt;COUNT(Dong1),"",IF(OFFSET(TH!M$1,SMALL(Dong1,ROWS($1:28)),)="1111",OFFSET(TH!L$1,SMALL(Dong1,ROWS($1:28)),),OFFSET(TH!M$1,SMALL(Dong1,ROWS($1:28)),)))</f>
        <v>1121</v>
      </c>
      <c r="G41" s="124">
        <f ca="1">IF(ROWS($1:28)&gt;COUNT(Dong1),"",IF(OFFSET(TH!L$1,SMALL(Dong1,ROWS($1:28)),)="1111",OFFSET(TH!K$1,SMALL(Dong1,ROWS($1:28)),),0))</f>
        <v>15000000</v>
      </c>
      <c r="H41" s="122">
        <f ca="1">IF(ROWS($1:28)&gt;COUNT(Dong1),"",IF(OFFSET(TH!M$1,SMALL(Dong1,ROWS($1:28)),)="1111",OFFSET(TH!K$1,SMALL(Dong1,ROWS($1:28)),),0))</f>
        <v>0</v>
      </c>
      <c r="I41" s="120">
        <f t="shared" ca="1" si="0"/>
        <v>1713690300</v>
      </c>
      <c r="J41" s="125"/>
      <c r="N41" s="630"/>
      <c r="O41" s="630"/>
    </row>
    <row r="42" spans="1:15" ht="21.75" customHeight="1">
      <c r="A42" s="119">
        <f ca="1">IF(ROWS($1:29)&gt;COUNT(Dong1),"",OFFSET(TH!C$1,SMALL(Dong1,ROWS($1:29)),))</f>
        <v>42599</v>
      </c>
      <c r="B42" s="119">
        <f ca="1">IF(ROWS($1:29)&gt;COUNT(Dong1),"",OFFSET(TH!E$1,SMALL(Dong1,ROWS($1:29)),))</f>
        <v>42599</v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>GBC</v>
      </c>
      <c r="E42" s="228" t="str">
        <f ca="1">IF(ROWS($1:29)&gt;COUNT(Dong1),"",OFFSET(TH!F$1,SMALL(Dong1,ROWS($1:29)),))</f>
        <v>Nộp tiền mặt</v>
      </c>
      <c r="F42" s="123" t="str">
        <f ca="1">IF(ROWS($1:29)&gt;COUNT(Dong1),"",IF(OFFSET(TH!M$1,SMALL(Dong1,ROWS($1:29)),)="1111",OFFSET(TH!L$1,SMALL(Dong1,ROWS($1:29)),),OFFSET(TH!M$1,SMALL(Dong1,ROWS($1:29)),)))</f>
        <v>1121</v>
      </c>
      <c r="G42" s="124">
        <f ca="1">IF(ROWS($1:29)&gt;COUNT(Dong1),"",IF(OFFSET(TH!L$1,SMALL(Dong1,ROWS($1:29)),)="1111",OFFSET(TH!K$1,SMALL(Dong1,ROWS($1:29)),),0))</f>
        <v>0</v>
      </c>
      <c r="H42" s="122">
        <f ca="1">IF(ROWS($1:29)&gt;COUNT(Dong1),"",IF(OFFSET(TH!M$1,SMALL(Dong1,ROWS($1:29)),)="1111",OFFSET(TH!K$1,SMALL(Dong1,ROWS($1:29)),),0))</f>
        <v>800000</v>
      </c>
      <c r="I42" s="120">
        <f t="shared" ca="1" si="0"/>
        <v>1712890300</v>
      </c>
      <c r="J42" s="125"/>
      <c r="N42" s="630"/>
      <c r="O42" s="630"/>
    </row>
    <row r="43" spans="1:15" ht="21.75" customHeight="1">
      <c r="A43" s="119">
        <f ca="1">IF(ROWS($1:30)&gt;COUNT(Dong1),"",OFFSET(TH!C$1,SMALL(Dong1,ROWS($1:30)),))</f>
        <v>42599</v>
      </c>
      <c r="B43" s="119">
        <f ca="1">IF(ROWS($1:30)&gt;COUNT(Dong1),"",OFFSET(TH!E$1,SMALL(Dong1,ROWS($1:30)),))</f>
        <v>42599</v>
      </c>
      <c r="C43" s="120" t="str">
        <f ca="1">IF(ROWS($1:30)&gt;COUNT(Dong1),"",IF(OFFSET(TH!L$1,SMALL(Dong1,ROWS($1:30)),)="1111",OFFSET(TH!D$1,SMALL(Dong1,ROWS($1:30)),),""))</f>
        <v>GBN</v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>Rút tiền mặt</v>
      </c>
      <c r="F43" s="123" t="str">
        <f ca="1">IF(ROWS($1:30)&gt;COUNT(Dong1),"",IF(OFFSET(TH!M$1,SMALL(Dong1,ROWS($1:30)),)="1111",OFFSET(TH!L$1,SMALL(Dong1,ROWS($1:30)),),OFFSET(TH!M$1,SMALL(Dong1,ROWS($1:30)),)))</f>
        <v>1121</v>
      </c>
      <c r="G43" s="124">
        <f ca="1">IF(ROWS($1:30)&gt;COUNT(Dong1),"",IF(OFFSET(TH!L$1,SMALL(Dong1,ROWS($1:30)),)="1111",OFFSET(TH!K$1,SMALL(Dong1,ROWS($1:30)),),0))</f>
        <v>13000000</v>
      </c>
      <c r="H43" s="122">
        <f ca="1">IF(ROWS($1:30)&gt;COUNT(Dong1),"",IF(OFFSET(TH!M$1,SMALL(Dong1,ROWS($1:30)),)="1111",OFFSET(TH!K$1,SMALL(Dong1,ROWS($1:30)),),0))</f>
        <v>0</v>
      </c>
      <c r="I43" s="120">
        <f t="shared" ca="1" si="0"/>
        <v>1725890300</v>
      </c>
      <c r="J43" s="125"/>
      <c r="N43" s="630"/>
      <c r="O43" s="630"/>
    </row>
    <row r="44" spans="1:15" ht="21.75" customHeight="1">
      <c r="A44" s="119">
        <f ca="1">IF(ROWS($1:31)&gt;COUNT(Dong1),"",OFFSET(TH!C$1,SMALL(Dong1,ROWS($1:31)),))</f>
        <v>42601</v>
      </c>
      <c r="B44" s="119">
        <f ca="1">IF(ROWS($1:31)&gt;COUNT(Dong1),"",OFFSET(TH!E$1,SMALL(Dong1,ROWS($1:31)),))</f>
        <v>42601</v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>GBC</v>
      </c>
      <c r="E44" s="228" t="str">
        <f ca="1">IF(ROWS($1:31)&gt;COUNT(Dong1),"",OFFSET(TH!F$1,SMALL(Dong1,ROWS($1:31)),))</f>
        <v>Nộp tiền mặt</v>
      </c>
      <c r="F44" s="123" t="str">
        <f ca="1">IF(ROWS($1:31)&gt;COUNT(Dong1),"",IF(OFFSET(TH!M$1,SMALL(Dong1,ROWS($1:31)),)="1111",OFFSET(TH!L$1,SMALL(Dong1,ROWS($1:31)),),OFFSET(TH!M$1,SMALL(Dong1,ROWS($1:31)),)))</f>
        <v>1121</v>
      </c>
      <c r="G44" s="124">
        <f ca="1">IF(ROWS($1:31)&gt;COUNT(Dong1),"",IF(OFFSET(TH!L$1,SMALL(Dong1,ROWS($1:31)),)="1111",OFFSET(TH!K$1,SMALL(Dong1,ROWS($1:31)),),0))</f>
        <v>0</v>
      </c>
      <c r="H44" s="122">
        <f ca="1">IF(ROWS($1:31)&gt;COUNT(Dong1),"",IF(OFFSET(TH!M$1,SMALL(Dong1,ROWS($1:31)),)="1111",OFFSET(TH!K$1,SMALL(Dong1,ROWS($1:31)),),0))</f>
        <v>277000000</v>
      </c>
      <c r="I44" s="120">
        <f t="shared" ca="1" si="0"/>
        <v>1448890300</v>
      </c>
      <c r="J44" s="125"/>
      <c r="N44" s="630"/>
      <c r="O44" s="630"/>
    </row>
    <row r="45" spans="1:15" ht="21.75" customHeight="1">
      <c r="A45" s="119">
        <f ca="1">IF(ROWS($1:32)&gt;COUNT(Dong1),"",OFFSET(TH!C$1,SMALL(Dong1,ROWS($1:32)),))</f>
        <v>42607</v>
      </c>
      <c r="B45" s="119">
        <f ca="1">IF(ROWS($1:32)&gt;COUNT(Dong1),"",OFFSET(TH!E$1,SMALL(Dong1,ROWS($1:32)),))</f>
        <v>42607</v>
      </c>
      <c r="C45" s="120" t="str">
        <f ca="1">IF(ROWS($1:32)&gt;COUNT(Dong1),"",IF(OFFSET(TH!L$1,SMALL(Dong1,ROWS($1:32)),)="1111",OFFSET(TH!D$1,SMALL(Dong1,ROWS($1:32)),),""))</f>
        <v>GBN</v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>Rút tiền mặt</v>
      </c>
      <c r="F45" s="123" t="str">
        <f ca="1">IF(ROWS($1:32)&gt;COUNT(Dong1),"",IF(OFFSET(TH!M$1,SMALL(Dong1,ROWS($1:32)),)="1111",OFFSET(TH!L$1,SMALL(Dong1,ROWS($1:32)),),OFFSET(TH!M$1,SMALL(Dong1,ROWS($1:32)),)))</f>
        <v>1121</v>
      </c>
      <c r="G45" s="124">
        <f ca="1">IF(ROWS($1:32)&gt;COUNT(Dong1),"",IF(OFFSET(TH!L$1,SMALL(Dong1,ROWS($1:32)),)="1111",OFFSET(TH!K$1,SMALL(Dong1,ROWS($1:32)),),0))</f>
        <v>9500000</v>
      </c>
      <c r="H45" s="122">
        <f ca="1">IF(ROWS($1:32)&gt;COUNT(Dong1),"",IF(OFFSET(TH!M$1,SMALL(Dong1,ROWS($1:32)),)="1111",OFFSET(TH!K$1,SMALL(Dong1,ROWS($1:32)),),0))</f>
        <v>0</v>
      </c>
      <c r="I45" s="120">
        <f t="shared" ca="1" si="0"/>
        <v>1458390300</v>
      </c>
      <c r="J45" s="125"/>
      <c r="N45" s="630"/>
      <c r="O45" s="630"/>
    </row>
    <row r="46" spans="1:15" ht="21.75" customHeight="1">
      <c r="A46" s="119">
        <f ca="1">IF(ROWS($1:33)&gt;COUNT(Dong1),"",OFFSET(TH!C$1,SMALL(Dong1,ROWS($1:33)),))</f>
        <v>42608</v>
      </c>
      <c r="B46" s="119">
        <f ca="1">IF(ROWS($1:33)&gt;COUNT(Dong1),"",OFFSET(TH!E$1,SMALL(Dong1,ROWS($1:33)),))</f>
        <v>42608</v>
      </c>
      <c r="C46" s="120" t="str">
        <f ca="1">IF(ROWS($1:33)&gt;COUNT(Dong1),"",IF(OFFSET(TH!L$1,SMALL(Dong1,ROWS($1:33)),)="1111",OFFSET(TH!D$1,SMALL(Dong1,ROWS($1:33)),),""))</f>
        <v>GBN</v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>Rút tiền mặt</v>
      </c>
      <c r="F46" s="123" t="str">
        <f ca="1">IF(ROWS($1:33)&gt;COUNT(Dong1),"",IF(OFFSET(TH!M$1,SMALL(Dong1,ROWS($1:33)),)="1111",OFFSET(TH!L$1,SMALL(Dong1,ROWS($1:33)),),OFFSET(TH!M$1,SMALL(Dong1,ROWS($1:33)),)))</f>
        <v>1121</v>
      </c>
      <c r="G46" s="124">
        <f ca="1">IF(ROWS($1:33)&gt;COUNT(Dong1),"",IF(OFFSET(TH!L$1,SMALL(Dong1,ROWS($1:33)),)="1111",OFFSET(TH!K$1,SMALL(Dong1,ROWS($1:33)),),0))</f>
        <v>12600000</v>
      </c>
      <c r="H46" s="122">
        <f ca="1">IF(ROWS($1:33)&gt;COUNT(Dong1),"",IF(OFFSET(TH!M$1,SMALL(Dong1,ROWS($1:33)),)="1111",OFFSET(TH!K$1,SMALL(Dong1,ROWS($1:33)),),0))</f>
        <v>0</v>
      </c>
      <c r="I46" s="120">
        <f t="shared" ca="1" si="0"/>
        <v>1470990300</v>
      </c>
      <c r="J46" s="125"/>
      <c r="N46" s="630"/>
      <c r="O46" s="630"/>
    </row>
    <row r="47" spans="1:15" ht="21.75" customHeight="1">
      <c r="A47" s="119">
        <f ca="1">IF(ROWS($1:34)&gt;COUNT(Dong1),"",OFFSET(TH!C$1,SMALL(Dong1,ROWS($1:34)),))</f>
        <v>42614</v>
      </c>
      <c r="B47" s="119">
        <f ca="1">IF(ROWS($1:34)&gt;COUNT(Dong1),"",OFFSET(TH!E$1,SMALL(Dong1,ROWS($1:34)),))</f>
        <v>42614</v>
      </c>
      <c r="C47" s="120" t="str">
        <f ca="1">IF(ROWS($1:34)&gt;COUNT(Dong1),"",IF(OFFSET(TH!L$1,SMALL(Dong1,ROWS($1:34)),)="1111",OFFSET(TH!D$1,SMALL(Dong1,ROWS($1:34)),),""))</f>
        <v>GBC</v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>Rút tiền mặt</v>
      </c>
      <c r="F47" s="123" t="str">
        <f ca="1">IF(ROWS($1:34)&gt;COUNT(Dong1),"",IF(OFFSET(TH!M$1,SMALL(Dong1,ROWS($1:34)),)="1111",OFFSET(TH!L$1,SMALL(Dong1,ROWS($1:34)),),OFFSET(TH!M$1,SMALL(Dong1,ROWS($1:34)),)))</f>
        <v>1121</v>
      </c>
      <c r="G47" s="124">
        <f ca="1">IF(ROWS($1:34)&gt;COUNT(Dong1),"",IF(OFFSET(TH!L$1,SMALL(Dong1,ROWS($1:34)),)="1111",OFFSET(TH!K$1,SMALL(Dong1,ROWS($1:34)),),0))</f>
        <v>7000000</v>
      </c>
      <c r="H47" s="122">
        <f ca="1">IF(ROWS($1:34)&gt;COUNT(Dong1),"",IF(OFFSET(TH!M$1,SMALL(Dong1,ROWS($1:34)),)="1111",OFFSET(TH!K$1,SMALL(Dong1,ROWS($1:34)),),0))</f>
        <v>0</v>
      </c>
      <c r="I47" s="120">
        <f t="shared" ca="1" si="0"/>
        <v>1477990300</v>
      </c>
      <c r="J47" s="125"/>
      <c r="N47" s="630"/>
      <c r="O47" s="630"/>
    </row>
    <row r="48" spans="1:15" ht="21.75" customHeight="1">
      <c r="A48" s="119">
        <f ca="1">IF(ROWS($1:35)&gt;COUNT(Dong1),"",OFFSET(TH!C$1,SMALL(Dong1,ROWS($1:35)),))</f>
        <v>42622</v>
      </c>
      <c r="B48" s="119">
        <f ca="1">IF(ROWS($1:35)&gt;COUNT(Dong1),"",OFFSET(TH!E$1,SMALL(Dong1,ROWS($1:35)),))</f>
        <v>42622</v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>GBC</v>
      </c>
      <c r="E48" s="228" t="str">
        <f ca="1">IF(ROWS($1:35)&gt;COUNT(Dong1),"",OFFSET(TH!F$1,SMALL(Dong1,ROWS($1:35)),))</f>
        <v>Nộp tiền mặt</v>
      </c>
      <c r="F48" s="123" t="str">
        <f ca="1">IF(ROWS($1:35)&gt;COUNT(Dong1),"",IF(OFFSET(TH!M$1,SMALL(Dong1,ROWS($1:35)),)="1111",OFFSET(TH!L$1,SMALL(Dong1,ROWS($1:35)),),OFFSET(TH!M$1,SMALL(Dong1,ROWS($1:35)),)))</f>
        <v>1121</v>
      </c>
      <c r="G48" s="124">
        <f ca="1">IF(ROWS($1:35)&gt;COUNT(Dong1),"",IF(OFFSET(TH!L$1,SMALL(Dong1,ROWS($1:35)),)="1111",OFFSET(TH!K$1,SMALL(Dong1,ROWS($1:35)),),0))</f>
        <v>0</v>
      </c>
      <c r="H48" s="122">
        <f ca="1">IF(ROWS($1:35)&gt;COUNT(Dong1),"",IF(OFFSET(TH!M$1,SMALL(Dong1,ROWS($1:35)),)="1111",OFFSET(TH!K$1,SMALL(Dong1,ROWS($1:35)),),0))</f>
        <v>5200000</v>
      </c>
      <c r="I48" s="120">
        <f t="shared" ca="1" si="0"/>
        <v>1472790300</v>
      </c>
      <c r="J48" s="125"/>
      <c r="N48" s="630"/>
      <c r="O48" s="630"/>
    </row>
    <row r="49" spans="1:15" ht="21.75" customHeight="1">
      <c r="A49" s="119">
        <f ca="1">IF(ROWS($1:36)&gt;COUNT(Dong1),"",OFFSET(TH!C$1,SMALL(Dong1,ROWS($1:36)),))</f>
        <v>42626</v>
      </c>
      <c r="B49" s="119">
        <f ca="1">IF(ROWS($1:36)&gt;COUNT(Dong1),"",OFFSET(TH!E$1,SMALL(Dong1,ROWS($1:36)),))</f>
        <v>42626</v>
      </c>
      <c r="C49" s="120" t="str">
        <f ca="1">IF(ROWS($1:36)&gt;COUNT(Dong1),"",IF(OFFSET(TH!L$1,SMALL(Dong1,ROWS($1:36)),)="1111",OFFSET(TH!D$1,SMALL(Dong1,ROWS($1:36)),),""))</f>
        <v>GBN</v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>Rút tiền mặt</v>
      </c>
      <c r="F49" s="123" t="str">
        <f ca="1">IF(ROWS($1:36)&gt;COUNT(Dong1),"",IF(OFFSET(TH!M$1,SMALL(Dong1,ROWS($1:36)),)="1111",OFFSET(TH!L$1,SMALL(Dong1,ROWS($1:36)),),OFFSET(TH!M$1,SMALL(Dong1,ROWS($1:36)),)))</f>
        <v>1121</v>
      </c>
      <c r="G49" s="124">
        <f ca="1">IF(ROWS($1:36)&gt;COUNT(Dong1),"",IF(OFFSET(TH!L$1,SMALL(Dong1,ROWS($1:36)),)="1111",OFFSET(TH!K$1,SMALL(Dong1,ROWS($1:36)),),0))</f>
        <v>5000000</v>
      </c>
      <c r="H49" s="122">
        <f ca="1">IF(ROWS($1:36)&gt;COUNT(Dong1),"",IF(OFFSET(TH!M$1,SMALL(Dong1,ROWS($1:36)),)="1111",OFFSET(TH!K$1,SMALL(Dong1,ROWS($1:36)),),0))</f>
        <v>0</v>
      </c>
      <c r="I49" s="120">
        <f t="shared" ca="1" si="0"/>
        <v>1477790300</v>
      </c>
      <c r="J49" s="125"/>
      <c r="N49" s="630"/>
      <c r="O49" s="630"/>
    </row>
    <row r="50" spans="1:15" ht="21.75" customHeight="1">
      <c r="A50" s="119">
        <f ca="1">IF(ROWS($1:37)&gt;COUNT(Dong1),"",OFFSET(TH!C$1,SMALL(Dong1,ROWS($1:37)),))</f>
        <v>42627</v>
      </c>
      <c r="B50" s="119">
        <f ca="1">IF(ROWS($1:37)&gt;COUNT(Dong1),"",OFFSET(TH!E$1,SMALL(Dong1,ROWS($1:37)),))</f>
        <v>42627</v>
      </c>
      <c r="C50" s="120" t="str">
        <f ca="1">IF(ROWS($1:37)&gt;COUNT(Dong1),"",IF(OFFSET(TH!L$1,SMALL(Dong1,ROWS($1:37)),)="1111",OFFSET(TH!D$1,SMALL(Dong1,ROWS($1:37)),),""))</f>
        <v>GBN</v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>Rút tiền mặt</v>
      </c>
      <c r="F50" s="123" t="str">
        <f ca="1">IF(ROWS($1:37)&gt;COUNT(Dong1),"",IF(OFFSET(TH!M$1,SMALL(Dong1,ROWS($1:37)),)="1111",OFFSET(TH!L$1,SMALL(Dong1,ROWS($1:37)),),OFFSET(TH!M$1,SMALL(Dong1,ROWS($1:37)),)))</f>
        <v>1121</v>
      </c>
      <c r="G50" s="124">
        <f ca="1">IF(ROWS($1:37)&gt;COUNT(Dong1),"",IF(OFFSET(TH!L$1,SMALL(Dong1,ROWS($1:37)),)="1111",OFFSET(TH!K$1,SMALL(Dong1,ROWS($1:37)),),0))</f>
        <v>11600000</v>
      </c>
      <c r="H50" s="122">
        <f ca="1">IF(ROWS($1:37)&gt;COUNT(Dong1),"",IF(OFFSET(TH!M$1,SMALL(Dong1,ROWS($1:37)),)="1111",OFFSET(TH!K$1,SMALL(Dong1,ROWS($1:37)),),0))</f>
        <v>0</v>
      </c>
      <c r="I50" s="120">
        <f t="shared" ca="1" si="0"/>
        <v>1489390300</v>
      </c>
      <c r="J50" s="125"/>
    </row>
    <row r="51" spans="1:15" ht="21.75" customHeight="1">
      <c r="A51" s="119">
        <f ca="1">IF(ROWS($1:38)&gt;COUNT(Dong1),"",OFFSET(TH!C$1,SMALL(Dong1,ROWS($1:38)),))</f>
        <v>42633</v>
      </c>
      <c r="B51" s="119">
        <f ca="1">IF(ROWS($1:38)&gt;COUNT(Dong1),"",OFFSET(TH!E$1,SMALL(Dong1,ROWS($1:38)),))</f>
        <v>42633</v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>GBC</v>
      </c>
      <c r="E51" s="228" t="str">
        <f ca="1">IF(ROWS($1:38)&gt;COUNT(Dong1),"",OFFSET(TH!F$1,SMALL(Dong1,ROWS($1:38)),))</f>
        <v>Nộp tiền mặt</v>
      </c>
      <c r="F51" s="123" t="str">
        <f ca="1">IF(ROWS($1:38)&gt;COUNT(Dong1),"",IF(OFFSET(TH!M$1,SMALL(Dong1,ROWS($1:38)),)="1111",OFFSET(TH!L$1,SMALL(Dong1,ROWS($1:38)),),OFFSET(TH!M$1,SMALL(Dong1,ROWS($1:38)),)))</f>
        <v>1121</v>
      </c>
      <c r="G51" s="124">
        <f ca="1">IF(ROWS($1:38)&gt;COUNT(Dong1),"",IF(OFFSET(TH!L$1,SMALL(Dong1,ROWS($1:38)),)="1111",OFFSET(TH!K$1,SMALL(Dong1,ROWS($1:38)),),0))</f>
        <v>0</v>
      </c>
      <c r="H51" s="122">
        <f ca="1">IF(ROWS($1:38)&gt;COUNT(Dong1),"",IF(OFFSET(TH!M$1,SMALL(Dong1,ROWS($1:38)),)="1111",OFFSET(TH!K$1,SMALL(Dong1,ROWS($1:38)),),0))</f>
        <v>2300000</v>
      </c>
      <c r="I51" s="120">
        <f t="shared" ca="1" si="0"/>
        <v>1487090300</v>
      </c>
      <c r="J51" s="125"/>
    </row>
    <row r="52" spans="1:15" ht="21.75" customHeight="1">
      <c r="A52" s="119">
        <f ca="1">IF(ROWS($1:39)&gt;COUNT(Dong1),"",OFFSET(TH!C$1,SMALL(Dong1,ROWS($1:39)),))</f>
        <v>42635</v>
      </c>
      <c r="B52" s="119">
        <f ca="1">IF(ROWS($1:39)&gt;COUNT(Dong1),"",OFFSET(TH!E$1,SMALL(Dong1,ROWS($1:39)),))</f>
        <v>42635</v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>GBC</v>
      </c>
      <c r="E52" s="228" t="str">
        <f ca="1">IF(ROWS($1:39)&gt;COUNT(Dong1),"",OFFSET(TH!F$1,SMALL(Dong1,ROWS($1:39)),))</f>
        <v>Nộp tiền mặt</v>
      </c>
      <c r="F52" s="123" t="str">
        <f ca="1">IF(ROWS($1:39)&gt;COUNT(Dong1),"",IF(OFFSET(TH!M$1,SMALL(Dong1,ROWS($1:39)),)="1111",OFFSET(TH!L$1,SMALL(Dong1,ROWS($1:39)),),OFFSET(TH!M$1,SMALL(Dong1,ROWS($1:39)),)))</f>
        <v>1121</v>
      </c>
      <c r="G52" s="124">
        <f ca="1">IF(ROWS($1:39)&gt;COUNT(Dong1),"",IF(OFFSET(TH!L$1,SMALL(Dong1,ROWS($1:39)),)="1111",OFFSET(TH!K$1,SMALL(Dong1,ROWS($1:39)),),0))</f>
        <v>0</v>
      </c>
      <c r="H52" s="122">
        <f ca="1">IF(ROWS($1:39)&gt;COUNT(Dong1),"",IF(OFFSET(TH!M$1,SMALL(Dong1,ROWS($1:39)),)="1111",OFFSET(TH!K$1,SMALL(Dong1,ROWS($1:39)),),0))</f>
        <v>44000</v>
      </c>
      <c r="I52" s="120">
        <f t="shared" ca="1" si="0"/>
        <v>1487046300</v>
      </c>
      <c r="J52" s="125"/>
    </row>
    <row r="53" spans="1:15" ht="21.75" customHeight="1">
      <c r="A53" s="119">
        <f ca="1">IF(ROWS($1:40)&gt;COUNT(Dong1),"",OFFSET(TH!C$1,SMALL(Dong1,ROWS($1:40)),))</f>
        <v>42635</v>
      </c>
      <c r="B53" s="119">
        <f ca="1">IF(ROWS($1:40)&gt;COUNT(Dong1),"",OFFSET(TH!E$1,SMALL(Dong1,ROWS($1:40)),))</f>
        <v>42635</v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>GBC</v>
      </c>
      <c r="E53" s="228" t="str">
        <f ca="1">IF(ROWS($1:40)&gt;COUNT(Dong1),"",OFFSET(TH!F$1,SMALL(Dong1,ROWS($1:40)),))</f>
        <v>Nộp tiền mặt</v>
      </c>
      <c r="F53" s="123" t="str">
        <f ca="1">IF(ROWS($1:40)&gt;COUNT(Dong1),"",IF(OFFSET(TH!M$1,SMALL(Dong1,ROWS($1:40)),)="1111",OFFSET(TH!L$1,SMALL(Dong1,ROWS($1:40)),),OFFSET(TH!M$1,SMALL(Dong1,ROWS($1:40)),)))</f>
        <v>1121</v>
      </c>
      <c r="G53" s="124">
        <f ca="1">IF(ROWS($1:40)&gt;COUNT(Dong1),"",IF(OFFSET(TH!L$1,SMALL(Dong1,ROWS($1:40)),)="1111",OFFSET(TH!K$1,SMALL(Dong1,ROWS($1:40)),),0))</f>
        <v>0</v>
      </c>
      <c r="H53" s="122">
        <f ca="1">IF(ROWS($1:40)&gt;COUNT(Dong1),"",IF(OFFSET(TH!M$1,SMALL(Dong1,ROWS($1:40)),)="1111",OFFSET(TH!K$1,SMALL(Dong1,ROWS($1:40)),),0))</f>
        <v>12295140</v>
      </c>
      <c r="I53" s="120">
        <f t="shared" ca="1" si="0"/>
        <v>1474751160</v>
      </c>
      <c r="J53" s="125"/>
    </row>
    <row r="54" spans="1:15" ht="21.75" customHeight="1">
      <c r="A54" s="119">
        <f ca="1">IF(ROWS($1:41)&gt;COUNT(Dong1),"",OFFSET(TH!C$1,SMALL(Dong1,ROWS($1:41)),))</f>
        <v>42639</v>
      </c>
      <c r="B54" s="119">
        <f ca="1">IF(ROWS($1:41)&gt;COUNT(Dong1),"",OFFSET(TH!E$1,SMALL(Dong1,ROWS($1:41)),))</f>
        <v>42639</v>
      </c>
      <c r="C54" s="120" t="str">
        <f ca="1">IF(ROWS($1:41)&gt;COUNT(Dong1),"",IF(OFFSET(TH!L$1,SMALL(Dong1,ROWS($1:41)),)="1111",OFFSET(TH!D$1,SMALL(Dong1,ROWS($1:41)),),""))</f>
        <v>GBN</v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>Rút tiền mặt</v>
      </c>
      <c r="F54" s="123" t="str">
        <f ca="1">IF(ROWS($1:41)&gt;COUNT(Dong1),"",IF(OFFSET(TH!M$1,SMALL(Dong1,ROWS($1:41)),)="1111",OFFSET(TH!L$1,SMALL(Dong1,ROWS($1:41)),),OFFSET(TH!M$1,SMALL(Dong1,ROWS($1:41)),)))</f>
        <v>1121</v>
      </c>
      <c r="G54" s="124">
        <f ca="1">IF(ROWS($1:41)&gt;COUNT(Dong1),"",IF(OFFSET(TH!L$1,SMALL(Dong1,ROWS($1:41)),)="1111",OFFSET(TH!K$1,SMALL(Dong1,ROWS($1:41)),),0))</f>
        <v>22000000</v>
      </c>
      <c r="H54" s="122">
        <f ca="1">IF(ROWS($1:41)&gt;COUNT(Dong1),"",IF(OFFSET(TH!M$1,SMALL(Dong1,ROWS($1:41)),)="1111",OFFSET(TH!K$1,SMALL(Dong1,ROWS($1:41)),),0))</f>
        <v>0</v>
      </c>
      <c r="I54" s="120">
        <f t="shared" ca="1" si="0"/>
        <v>1496751160</v>
      </c>
      <c r="J54" s="125"/>
    </row>
    <row r="55" spans="1:15" ht="21.75" customHeight="1">
      <c r="A55" s="119">
        <f ca="1">IF(ROWS($1:42)&gt;COUNT(Dong1),"",OFFSET(TH!C$1,SMALL(Dong1,ROWS($1:42)),))</f>
        <v>42566</v>
      </c>
      <c r="B55" s="119">
        <f ca="1">IF(ROWS($1:42)&gt;COUNT(Dong1),"",OFFSET(TH!E$1,SMALL(Dong1,ROWS($1:42)),))</f>
        <v>42566</v>
      </c>
      <c r="C55" s="120" t="str">
        <f ca="1">IF(ROWS($1:42)&gt;COUNT(Dong1),"",IF(OFFSET(TH!L$1,SMALL(Dong1,ROWS($1:42)),)="1111",OFFSET(TH!D$1,SMALL(Dong1,ROWS($1:42)),),""))</f>
        <v>TP/X01</v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>Thu tiền hàng</v>
      </c>
      <c r="F55" s="123" t="str">
        <f ca="1">IF(ROWS($1:42)&gt;COUNT(Dong1),"",IF(OFFSET(TH!M$1,SMALL(Dong1,ROWS($1:42)),)="1111",OFFSET(TH!L$1,SMALL(Dong1,ROWS($1:42)),),OFFSET(TH!M$1,SMALL(Dong1,ROWS($1:42)),)))</f>
        <v>131</v>
      </c>
      <c r="G55" s="124">
        <f ca="1">IF(ROWS($1:42)&gt;COUNT(Dong1),"",IF(OFFSET(TH!L$1,SMALL(Dong1,ROWS($1:42)),)="1111",OFFSET(TH!K$1,SMALL(Dong1,ROWS($1:42)),),0))</f>
        <v>1754444</v>
      </c>
      <c r="H55" s="122">
        <f ca="1">IF(ROWS($1:42)&gt;COUNT(Dong1),"",IF(OFFSET(TH!M$1,SMALL(Dong1,ROWS($1:42)),)="1111",OFFSET(TH!K$1,SMALL(Dong1,ROWS($1:42)),),0))</f>
        <v>0</v>
      </c>
      <c r="I55" s="120">
        <f t="shared" ca="1" si="0"/>
        <v>1498505604</v>
      </c>
      <c r="J55" s="125"/>
    </row>
    <row r="56" spans="1:15" ht="21.75" customHeight="1">
      <c r="A56" s="119">
        <f ca="1">IF(ROWS($1:43)&gt;COUNT(Dong1),"",OFFSET(TH!C$1,SMALL(Dong1,ROWS($1:43)),))</f>
        <v>42574</v>
      </c>
      <c r="B56" s="119">
        <f ca="1">IF(ROWS($1:43)&gt;COUNT(Dong1),"",OFFSET(TH!E$1,SMALL(Dong1,ROWS($1:43)),))</f>
        <v>42574</v>
      </c>
      <c r="C56" s="120" t="str">
        <f ca="1">IF(ROWS($1:43)&gt;COUNT(Dong1),"",IF(OFFSET(TH!L$1,SMALL(Dong1,ROWS($1:43)),)="1111",OFFSET(TH!D$1,SMALL(Dong1,ROWS($1:43)),),""))</f>
        <v>TP/X13</v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>Thu tiền hàng</v>
      </c>
      <c r="F56" s="123" t="str">
        <f ca="1">IF(ROWS($1:43)&gt;COUNT(Dong1),"",IF(OFFSET(TH!M$1,SMALL(Dong1,ROWS($1:43)),)="1111",OFFSET(TH!L$1,SMALL(Dong1,ROWS($1:43)),),OFFSET(TH!M$1,SMALL(Dong1,ROWS($1:43)),)))</f>
        <v>131</v>
      </c>
      <c r="G56" s="124">
        <f ca="1">IF(ROWS($1:43)&gt;COUNT(Dong1),"",IF(OFFSET(TH!L$1,SMALL(Dong1,ROWS($1:43)),)="1111",OFFSET(TH!K$1,SMALL(Dong1,ROWS($1:43)),),0))</f>
        <v>5236000</v>
      </c>
      <c r="H56" s="122">
        <f ca="1">IF(ROWS($1:43)&gt;COUNT(Dong1),"",IF(OFFSET(TH!M$1,SMALL(Dong1,ROWS($1:43)),)="1111",OFFSET(TH!K$1,SMALL(Dong1,ROWS($1:43)),),0))</f>
        <v>0</v>
      </c>
      <c r="I56" s="120">
        <f t="shared" ca="1" si="0"/>
        <v>1503741604</v>
      </c>
      <c r="J56" s="125"/>
    </row>
    <row r="57" spans="1:15" ht="21.75" customHeight="1">
      <c r="A57" s="119" t="str">
        <f ca="1">IF(ROWS($1:44)&gt;COUNT(Dong1),"",OFFSET(TH!C$1,SMALL(Dong1,ROWS($1:44)),))</f>
        <v/>
      </c>
      <c r="B57" s="119" t="str">
        <f ca="1">IF(ROWS($1:44)&gt;COUNT(Dong1),"",OFFSET(TH!E$1,SMALL(Dong1,ROWS($1:44)),))</f>
        <v/>
      </c>
      <c r="C57" s="120" t="str">
        <f ca="1">IF(ROWS($1:44)&gt;COUNT(Dong1),"",IF(OFFSET(TH!L$1,SMALL(Dong1,ROWS($1:44)),)="1111",OFFSET(TH!D$1,SMALL(Dong1,ROWS($1:44)),),""))</f>
        <v/>
      </c>
      <c r="D57" s="121" t="str">
        <f ca="1">IF(ROWS($1:44)&gt;COUNT(Dong1),"",IF(OFFSET(TH!M$1,SMALL(Dong1,ROWS($1:44)),)="1111",OFFSET(TH!D$1,SMALL(Dong1,ROWS($1:44)),),""))</f>
        <v/>
      </c>
      <c r="E57" s="228" t="str">
        <f ca="1">IF(ROWS($1:44)&gt;COUNT(Dong1),"",OFFSET(TH!F$1,SMALL(Dong1,ROWS($1:44)),))</f>
        <v/>
      </c>
      <c r="F57" s="123" t="str">
        <f ca="1">IF(ROWS($1:44)&gt;COUNT(Dong1),"",IF(OFFSET(TH!M$1,SMALL(Dong1,ROWS($1:44)),)="1111",OFFSET(TH!L$1,SMALL(Dong1,ROWS($1:44)),),OFFSET(TH!M$1,SMALL(Dong1,ROWS($1:44)),)))</f>
        <v/>
      </c>
      <c r="G57" s="124" t="str">
        <f ca="1">IF(ROWS($1:44)&gt;COUNT(Dong1),"",IF(OFFSET(TH!L$1,SMALL(Dong1,ROWS($1:44)),)="1111",OFFSET(TH!K$1,SMALL(Dong1,ROWS($1:44)),),0))</f>
        <v/>
      </c>
      <c r="H57" s="122" t="str">
        <f ca="1">IF(ROWS($1:44)&gt;COUNT(Dong1),"",IF(OFFSET(TH!M$1,SMALL(Dong1,ROWS($1:44)),)="1111",OFFSET(TH!K$1,SMALL(Dong1,ROWS($1:44)),),0))</f>
        <v/>
      </c>
      <c r="I57" s="120">
        <f t="shared" ca="1" si="0"/>
        <v>0</v>
      </c>
      <c r="J57" s="125"/>
    </row>
    <row r="58" spans="1:15" ht="21.75" customHeight="1">
      <c r="A58" s="119" t="str">
        <f ca="1">IF(ROWS($1:45)&gt;COUNT(Dong1),"",OFFSET(TH!C$1,SMALL(Dong1,ROWS($1:45)),))</f>
        <v/>
      </c>
      <c r="B58" s="119" t="str">
        <f ca="1">IF(ROWS($1:45)&gt;COUNT(Dong1),"",OFFSET(TH!E$1,SMALL(Dong1,ROWS($1:45)),))</f>
        <v/>
      </c>
      <c r="C58" s="120" t="str">
        <f ca="1">IF(ROWS($1:45)&gt;COUNT(Dong1),"",IF(OFFSET(TH!L$1,SMALL(Dong1,ROWS($1:45)),)="1111",OFFSET(TH!D$1,SMALL(Dong1,ROWS($1:45)),),""))</f>
        <v/>
      </c>
      <c r="D58" s="121" t="str">
        <f ca="1">IF(ROWS($1:45)&gt;COUNT(Dong1),"",IF(OFFSET(TH!M$1,SMALL(Dong1,ROWS($1:45)),)="1111",OFFSET(TH!D$1,SMALL(Dong1,ROWS($1:45)),),""))</f>
        <v/>
      </c>
      <c r="E58" s="228" t="str">
        <f ca="1">IF(ROWS($1:45)&gt;COUNT(Dong1),"",OFFSET(TH!F$1,SMALL(Dong1,ROWS($1:45)),))</f>
        <v/>
      </c>
      <c r="F58" s="123" t="str">
        <f ca="1">IF(ROWS($1:45)&gt;COUNT(Dong1),"",IF(OFFSET(TH!M$1,SMALL(Dong1,ROWS($1:45)),)="1111",OFFSET(TH!L$1,SMALL(Dong1,ROWS($1:45)),),OFFSET(TH!M$1,SMALL(Dong1,ROWS($1:45)),)))</f>
        <v/>
      </c>
      <c r="G58" s="124" t="str">
        <f ca="1">IF(ROWS($1:45)&gt;COUNT(Dong1),"",IF(OFFSET(TH!L$1,SMALL(Dong1,ROWS($1:45)),)="1111",OFFSET(TH!K$1,SMALL(Dong1,ROWS($1:45)),),0))</f>
        <v/>
      </c>
      <c r="H58" s="122" t="str">
        <f ca="1">IF(ROWS($1:45)&gt;COUNT(Dong1),"",IF(OFFSET(TH!M$1,SMALL(Dong1,ROWS($1:45)),)="1111",OFFSET(TH!K$1,SMALL(Dong1,ROWS($1:45)),),0))</f>
        <v/>
      </c>
      <c r="I58" s="120">
        <f t="shared" ca="1" si="0"/>
        <v>0</v>
      </c>
      <c r="J58" s="125"/>
    </row>
    <row r="59" spans="1:15" ht="21.75" customHeight="1">
      <c r="A59" s="119" t="str">
        <f ca="1">IF(ROWS($1:46)&gt;COUNT(Dong1),"",OFFSET(TH!C$1,SMALL(Dong1,ROWS($1:46)),))</f>
        <v/>
      </c>
      <c r="B59" s="119" t="str">
        <f ca="1">IF(ROWS($1:46)&gt;COUNT(Dong1),"",OFFSET(TH!E$1,SMALL(Dong1,ROWS($1:46)),))</f>
        <v/>
      </c>
      <c r="C59" s="120" t="str">
        <f ca="1">IF(ROWS($1:46)&gt;COUNT(Dong1),"",IF(OFFSET(TH!L$1,SMALL(Dong1,ROWS($1:46)),)="1111",OFFSET(TH!D$1,SMALL(Dong1,ROWS($1:46)),),""))</f>
        <v/>
      </c>
      <c r="D59" s="121" t="str">
        <f ca="1">IF(ROWS($1:46)&gt;COUNT(Dong1),"",IF(OFFSET(TH!M$1,SMALL(Dong1,ROWS($1:46)),)="1111",OFFSET(TH!D$1,SMALL(Dong1,ROWS($1:46)),),""))</f>
        <v/>
      </c>
      <c r="E59" s="228" t="str">
        <f ca="1">IF(ROWS($1:46)&gt;COUNT(Dong1),"",OFFSET(TH!F$1,SMALL(Dong1,ROWS($1:46)),))</f>
        <v/>
      </c>
      <c r="F59" s="123" t="str">
        <f ca="1">IF(ROWS($1:46)&gt;COUNT(Dong1),"",IF(OFFSET(TH!M$1,SMALL(Dong1,ROWS($1:46)),)="1111",OFFSET(TH!L$1,SMALL(Dong1,ROWS($1:46)),),OFFSET(TH!M$1,SMALL(Dong1,ROWS($1:46)),)))</f>
        <v/>
      </c>
      <c r="G59" s="124" t="str">
        <f ca="1">IF(ROWS($1:46)&gt;COUNT(Dong1),"",IF(OFFSET(TH!L$1,SMALL(Dong1,ROWS($1:46)),)="1111",OFFSET(TH!K$1,SMALL(Dong1,ROWS($1:46)),),0))</f>
        <v/>
      </c>
      <c r="H59" s="122" t="str">
        <f ca="1">IF(ROWS($1:46)&gt;COUNT(Dong1),"",IF(OFFSET(TH!M$1,SMALL(Dong1,ROWS($1:46)),)="1111",OFFSET(TH!K$1,SMALL(Dong1,ROWS($1:46)),),0))</f>
        <v/>
      </c>
      <c r="I59" s="120">
        <f t="shared" ca="1" si="0"/>
        <v>0</v>
      </c>
      <c r="J59" s="125"/>
    </row>
    <row r="60" spans="1:15" ht="21.75" customHeight="1">
      <c r="A60" s="119" t="str">
        <f ca="1">IF(ROWS($1:47)&gt;COUNT(Dong1),"",OFFSET(TH!C$1,SMALL(Dong1,ROWS($1:47)),))</f>
        <v/>
      </c>
      <c r="B60" s="119" t="str">
        <f ca="1">IF(ROWS($1:47)&gt;COUNT(Dong1),"",OFFSET(TH!E$1,SMALL(Dong1,ROWS($1:47)),))</f>
        <v/>
      </c>
      <c r="C60" s="120" t="str">
        <f ca="1">IF(ROWS($1:47)&gt;COUNT(Dong1),"",IF(OFFSET(TH!L$1,SMALL(Dong1,ROWS($1:47)),)="1111",OFFSET(TH!D$1,SMALL(Dong1,ROWS($1:47)),),""))</f>
        <v/>
      </c>
      <c r="D60" s="121" t="str">
        <f ca="1">IF(ROWS($1:47)&gt;COUNT(Dong1),"",IF(OFFSET(TH!M$1,SMALL(Dong1,ROWS($1:47)),)="1111",OFFSET(TH!D$1,SMALL(Dong1,ROWS($1:47)),),""))</f>
        <v/>
      </c>
      <c r="E60" s="228" t="str">
        <f ca="1">IF(ROWS($1:47)&gt;COUNT(Dong1),"",OFFSET(TH!F$1,SMALL(Dong1,ROWS($1:47)),))</f>
        <v/>
      </c>
      <c r="F60" s="123" t="str">
        <f ca="1">IF(ROWS($1:47)&gt;COUNT(Dong1),"",IF(OFFSET(TH!M$1,SMALL(Dong1,ROWS($1:47)),)="1111",OFFSET(TH!L$1,SMALL(Dong1,ROWS($1:47)),),OFFSET(TH!M$1,SMALL(Dong1,ROWS($1:47)),)))</f>
        <v/>
      </c>
      <c r="G60" s="124" t="str">
        <f ca="1">IF(ROWS($1:47)&gt;COUNT(Dong1),"",IF(OFFSET(TH!L$1,SMALL(Dong1,ROWS($1:47)),)="1111",OFFSET(TH!K$1,SMALL(Dong1,ROWS($1:47)),),0))</f>
        <v/>
      </c>
      <c r="H60" s="122" t="str">
        <f ca="1">IF(ROWS($1:47)&gt;COUNT(Dong1),"",IF(OFFSET(TH!M$1,SMALL(Dong1,ROWS($1:47)),)="1111",OFFSET(TH!K$1,SMALL(Dong1,ROWS($1:47)),),0))</f>
        <v/>
      </c>
      <c r="I60" s="120">
        <f t="shared" ca="1" si="0"/>
        <v>0</v>
      </c>
      <c r="J60" s="125"/>
    </row>
    <row r="61" spans="1:15" ht="21.75" customHeight="1">
      <c r="A61" s="119" t="str">
        <f ca="1">IF(ROWS($1:48)&gt;COUNT(Dong1),"",OFFSET(TH!C$1,SMALL(Dong1,ROWS($1:48)),))</f>
        <v/>
      </c>
      <c r="B61" s="119" t="str">
        <f ca="1">IF(ROWS($1:48)&gt;COUNT(Dong1),"",OFFSET(TH!E$1,SMALL(Dong1,ROWS($1:48)),))</f>
        <v/>
      </c>
      <c r="C61" s="120" t="str">
        <f ca="1">IF(ROWS($1:48)&gt;COUNT(Dong1),"",IF(OFFSET(TH!L$1,SMALL(Dong1,ROWS($1:48)),)="1111",OFFSET(TH!D$1,SMALL(Dong1,ROWS($1:48)),),""))</f>
        <v/>
      </c>
      <c r="D61" s="121" t="str">
        <f ca="1">IF(ROWS($1:48)&gt;COUNT(Dong1),"",IF(OFFSET(TH!M$1,SMALL(Dong1,ROWS($1:48)),)="1111",OFFSET(TH!D$1,SMALL(Dong1,ROWS($1:48)),),""))</f>
        <v/>
      </c>
      <c r="E61" s="228" t="str">
        <f ca="1">IF(ROWS($1:48)&gt;COUNT(Dong1),"",OFFSET(TH!F$1,SMALL(Dong1,ROWS($1:48)),))</f>
        <v/>
      </c>
      <c r="F61" s="123" t="str">
        <f ca="1">IF(ROWS($1:48)&gt;COUNT(Dong1),"",IF(OFFSET(TH!M$1,SMALL(Dong1,ROWS($1:48)),)="1111",OFFSET(TH!L$1,SMALL(Dong1,ROWS($1:48)),),OFFSET(TH!M$1,SMALL(Dong1,ROWS($1:48)),)))</f>
        <v/>
      </c>
      <c r="G61" s="124" t="str">
        <f ca="1">IF(ROWS($1:48)&gt;COUNT(Dong1),"",IF(OFFSET(TH!L$1,SMALL(Dong1,ROWS($1:48)),)="1111",OFFSET(TH!K$1,SMALL(Dong1,ROWS($1:48)),),0))</f>
        <v/>
      </c>
      <c r="H61" s="122" t="str">
        <f ca="1">IF(ROWS($1:48)&gt;COUNT(Dong1),"",IF(OFFSET(TH!M$1,SMALL(Dong1,ROWS($1:48)),)="1111",OFFSET(TH!K$1,SMALL(Dong1,ROWS($1:48)),),0))</f>
        <v/>
      </c>
      <c r="I61" s="120">
        <f t="shared" ca="1" si="0"/>
        <v>0</v>
      </c>
      <c r="J61" s="125"/>
    </row>
    <row r="62" spans="1:15" ht="21.75" customHeight="1">
      <c r="A62" s="119" t="str">
        <f ca="1">IF(ROWS($1:49)&gt;COUNT(Dong1),"",OFFSET(TH!C$1,SMALL(Dong1,ROWS($1:49)),))</f>
        <v/>
      </c>
      <c r="B62" s="119" t="str">
        <f ca="1">IF(ROWS($1:49)&gt;COUNT(Dong1),"",OFFSET(TH!E$1,SMALL(Dong1,ROWS($1:49)),))</f>
        <v/>
      </c>
      <c r="C62" s="120" t="str">
        <f ca="1">IF(ROWS($1:49)&gt;COUNT(Dong1),"",IF(OFFSET(TH!L$1,SMALL(Dong1,ROWS($1:49)),)="1111",OFFSET(TH!D$1,SMALL(Dong1,ROWS($1:49)),),""))</f>
        <v/>
      </c>
      <c r="D62" s="121" t="str">
        <f ca="1">IF(ROWS($1:49)&gt;COUNT(Dong1),"",IF(OFFSET(TH!M$1,SMALL(Dong1,ROWS($1:49)),)="1111",OFFSET(TH!D$1,SMALL(Dong1,ROWS($1:49)),),""))</f>
        <v/>
      </c>
      <c r="E62" s="228" t="str">
        <f ca="1">IF(ROWS($1:49)&gt;COUNT(Dong1),"",OFFSET(TH!F$1,SMALL(Dong1,ROWS($1:49)),))</f>
        <v/>
      </c>
      <c r="F62" s="123" t="str">
        <f ca="1">IF(ROWS($1:49)&gt;COUNT(Dong1),"",IF(OFFSET(TH!M$1,SMALL(Dong1,ROWS($1:49)),)="1111",OFFSET(TH!L$1,SMALL(Dong1,ROWS($1:49)),),OFFSET(TH!M$1,SMALL(Dong1,ROWS($1:49)),)))</f>
        <v/>
      </c>
      <c r="G62" s="124" t="str">
        <f ca="1">IF(ROWS($1:49)&gt;COUNT(Dong1),"",IF(OFFSET(TH!L$1,SMALL(Dong1,ROWS($1:49)),)="1111",OFFSET(TH!K$1,SMALL(Dong1,ROWS($1:49)),),0))</f>
        <v/>
      </c>
      <c r="H62" s="122" t="str">
        <f ca="1">IF(ROWS($1:49)&gt;COUNT(Dong1),"",IF(OFFSET(TH!M$1,SMALL(Dong1,ROWS($1:49)),)="1111",OFFSET(TH!K$1,SMALL(Dong1,ROWS($1:49)),),0))</f>
        <v/>
      </c>
      <c r="I62" s="120">
        <f t="shared" ca="1" si="0"/>
        <v>0</v>
      </c>
      <c r="J62" s="125"/>
    </row>
    <row r="63" spans="1:15" ht="21.75" customHeight="1">
      <c r="A63" s="126"/>
      <c r="B63" s="125"/>
      <c r="C63" s="125"/>
      <c r="D63" s="125"/>
      <c r="E63" s="229"/>
      <c r="F63" s="127"/>
      <c r="G63" s="125"/>
      <c r="H63" s="125"/>
      <c r="I63" s="120"/>
      <c r="J63" s="125"/>
    </row>
    <row r="64" spans="1:15" s="115" customFormat="1" ht="21.75" customHeight="1">
      <c r="A64" s="128"/>
      <c r="B64" s="128"/>
      <c r="C64" s="128"/>
      <c r="D64" s="128"/>
      <c r="E64" s="128" t="s">
        <v>133</v>
      </c>
      <c r="F64" s="129" t="s">
        <v>19</v>
      </c>
      <c r="G64" s="128">
        <f ca="1">SUM(G14:G63)</f>
        <v>102690444</v>
      </c>
      <c r="H64" s="128">
        <f ca="1">SUM(H14:H63)</f>
        <v>396748840</v>
      </c>
      <c r="I64" s="129" t="s">
        <v>19</v>
      </c>
      <c r="J64" s="129" t="s">
        <v>19</v>
      </c>
    </row>
    <row r="65" spans="1:12" s="115" customFormat="1" ht="21.75" customHeight="1">
      <c r="A65" s="130"/>
      <c r="B65" s="130"/>
      <c r="C65" s="130"/>
      <c r="D65" s="130"/>
      <c r="E65" s="130" t="s">
        <v>134</v>
      </c>
      <c r="F65" s="131" t="s">
        <v>19</v>
      </c>
      <c r="G65" s="131" t="s">
        <v>19</v>
      </c>
      <c r="H65" s="131" t="s">
        <v>19</v>
      </c>
      <c r="I65" s="132">
        <f ca="1">I13+G64-H64</f>
        <v>1503741604</v>
      </c>
      <c r="J65" s="131" t="s">
        <v>19</v>
      </c>
    </row>
    <row r="66" spans="1:12">
      <c r="L66" s="251" t="s">
        <v>155</v>
      </c>
    </row>
    <row r="67" spans="1:12">
      <c r="A67" s="133" t="s">
        <v>156</v>
      </c>
      <c r="L67" s="251" t="s">
        <v>156</v>
      </c>
    </row>
    <row r="68" spans="1:12">
      <c r="A68" s="179" t="str">
        <f ca="1">"- Ngày mở sổ: "&amp;DAY($A$14)&amp;"/"&amp;MONTH($A$14)&amp;"/ " &amp;YEAR($A$14)</f>
        <v>- Ngày mở sổ: 1/7/ 2016</v>
      </c>
      <c r="L68" s="251" t="s">
        <v>135</v>
      </c>
    </row>
    <row r="69" spans="1:12">
      <c r="I69" s="189" t="str">
        <f ca="1">"Ngày "&amp;IF(OR($L$11=4,$L$11=6,$L$11=9,$L$11=11),"30",IF($L$11=2,"28","31"))&amp;" tháng "&amp;$O$11&amp;"  năm  "&amp;YEAR($A$14)</f>
        <v>Ngày 31 tháng 9  năm  2016</v>
      </c>
      <c r="L69" s="251" t="s">
        <v>153</v>
      </c>
    </row>
    <row r="70" spans="1:12" s="134" customFormat="1" ht="14.25">
      <c r="C70" s="134" t="s">
        <v>11</v>
      </c>
      <c r="E70" s="134" t="s">
        <v>12</v>
      </c>
      <c r="I70" s="134" t="s">
        <v>109</v>
      </c>
    </row>
    <row r="71" spans="1:12" s="135" customFormat="1">
      <c r="C71" s="135" t="s">
        <v>13</v>
      </c>
      <c r="E71" s="135" t="s">
        <v>13</v>
      </c>
      <c r="I71" s="135" t="s">
        <v>136</v>
      </c>
    </row>
    <row r="72" spans="1:12" s="135" customFormat="1"/>
    <row r="73" spans="1:12" s="135" customFormat="1"/>
    <row r="74" spans="1:12" s="135" customFormat="1"/>
    <row r="75" spans="1:12" s="135" customFormat="1"/>
    <row r="78" spans="1:12" ht="15.75">
      <c r="C78" s="226"/>
      <c r="I78" s="227"/>
    </row>
    <row r="79" spans="1:12">
      <c r="E79" s="110">
        <f ca="1">SUMIF($D$14:$D$36,#REF!,H14:H36)</f>
        <v>0</v>
      </c>
    </row>
    <row r="82" spans="1:10">
      <c r="A82" s="110">
        <v>2</v>
      </c>
      <c r="B82" s="110">
        <v>3</v>
      </c>
      <c r="C82" s="110">
        <v>4</v>
      </c>
      <c r="D82" s="110">
        <v>5</v>
      </c>
      <c r="E82" s="110">
        <v>6</v>
      </c>
      <c r="F82" s="110">
        <v>9</v>
      </c>
      <c r="G82" s="110">
        <v>10</v>
      </c>
      <c r="H82" s="110">
        <v>11</v>
      </c>
      <c r="I82" s="110">
        <v>12</v>
      </c>
      <c r="J82" s="110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SX TM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1A227/1 Ấp 1, Phạm Văn Hai, Bình Chánh, TPHCM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1">
        <v>4</v>
      </c>
      <c r="T4" s="80"/>
      <c r="U4" s="485" t="s">
        <v>4</v>
      </c>
      <c r="V4" s="106"/>
      <c r="W4" s="486">
        <v>23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/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04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C23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/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 xml:space="preserve">Lý do chi : 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0</v>
      </c>
      <c r="E13" s="60" t="s">
        <v>108</v>
      </c>
      <c r="F13" s="97"/>
      <c r="G13" s="97"/>
      <c r="P13" s="60"/>
    </row>
    <row r="14" spans="1:23">
      <c r="C14" s="60" t="e">
        <f ca="1">"Viết bằng chữ: " &amp;[2]!VND('IN-TC'!D13, TRUE)</f>
        <v>#NAME?</v>
      </c>
      <c r="P14" s="75"/>
    </row>
    <row r="15" spans="1:23">
      <c r="C15" s="95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/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12" activePane="bottomLeft" state="frozen"/>
      <selection activeCell="A6" sqref="A6"/>
      <selection pane="bottomLeft" activeCell="F40" sqref="F40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SX TM KIM DUNG PHÁT</v>
      </c>
      <c r="B1" s="140"/>
      <c r="C1" s="141"/>
      <c r="F1" s="230"/>
      <c r="G1" s="232" t="s">
        <v>154</v>
      </c>
      <c r="H1" s="591"/>
      <c r="I1" s="230"/>
      <c r="K1" s="796"/>
      <c r="L1" s="796"/>
    </row>
    <row r="2" spans="1:21" s="139" customFormat="1" ht="16.5" customHeight="1">
      <c r="A2" s="233" t="str">
        <f>TH!A2</f>
        <v>Địa chỉ: 1A227/1 Ấp 1, Phạm Văn Hai, Bình Chánh, TPHCM</v>
      </c>
      <c r="B2" s="176"/>
      <c r="C2" s="176"/>
      <c r="D2" s="176"/>
      <c r="F2" s="1002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2"/>
      <c r="H2" s="1002"/>
      <c r="I2" s="231"/>
      <c r="K2" s="797"/>
      <c r="L2" s="797"/>
    </row>
    <row r="3" spans="1:21" s="139" customFormat="1" ht="16.5" customHeight="1">
      <c r="A3" s="176"/>
      <c r="B3" s="176"/>
      <c r="C3" s="176"/>
      <c r="D3" s="176"/>
      <c r="F3" s="1002"/>
      <c r="G3" s="1002"/>
      <c r="H3" s="1002"/>
      <c r="I3" s="231"/>
    </row>
    <row r="4" spans="1:21" s="139" customFormat="1" ht="19.5" customHeight="1">
      <c r="A4" s="1005" t="s">
        <v>137</v>
      </c>
      <c r="B4" s="1005"/>
      <c r="C4" s="1005"/>
      <c r="D4" s="1005"/>
      <c r="E4" s="1005"/>
      <c r="F4" s="1005"/>
      <c r="G4" s="1005"/>
      <c r="H4" s="1005"/>
      <c r="I4" s="1005"/>
    </row>
    <row r="5" spans="1:21" s="139" customFormat="1" ht="15">
      <c r="A5" s="994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4"/>
      <c r="C5" s="994"/>
      <c r="D5" s="994"/>
      <c r="E5" s="994"/>
      <c r="F5" s="994"/>
      <c r="G5" s="994"/>
      <c r="H5" s="994"/>
      <c r="I5" s="994"/>
    </row>
    <row r="6" spans="1:21" s="139" customFormat="1" ht="15">
      <c r="D6" s="259" t="s">
        <v>158</v>
      </c>
      <c r="E6" s="994" t="str">
        <f>IF($M$9="VCB","0631000451708","")</f>
        <v>0631000451708</v>
      </c>
      <c r="F6" s="994"/>
      <c r="G6" s="994"/>
      <c r="H6" s="592" t="s">
        <v>108</v>
      </c>
      <c r="I6" s="260" t="str">
        <f>IF(H6="VNĐ","1121",IF(H6="USD","1122",""))</f>
        <v>1121</v>
      </c>
      <c r="N6" s="987" t="s">
        <v>331</v>
      </c>
      <c r="O6" s="987"/>
      <c r="Q6" s="1003" t="s">
        <v>272</v>
      </c>
      <c r="R6" s="1003" t="s">
        <v>561</v>
      </c>
      <c r="S6" s="1003" t="s">
        <v>477</v>
      </c>
      <c r="T6" s="1003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3"/>
      <c r="I7" s="143"/>
      <c r="Q7" s="1004"/>
      <c r="R7" s="1004"/>
      <c r="S7" s="1004"/>
      <c r="T7" s="1004"/>
    </row>
    <row r="8" spans="1:21" s="144" customFormat="1" ht="22.5" customHeight="1" thickBot="1">
      <c r="A8" s="995" t="s">
        <v>138</v>
      </c>
      <c r="B8" s="997" t="s">
        <v>1</v>
      </c>
      <c r="C8" s="998"/>
      <c r="D8" s="992" t="s">
        <v>0</v>
      </c>
      <c r="E8" s="999" t="s">
        <v>14</v>
      </c>
      <c r="F8" s="1001" t="s">
        <v>139</v>
      </c>
      <c r="G8" s="1001"/>
      <c r="H8" s="998"/>
      <c r="I8" s="992" t="s">
        <v>127</v>
      </c>
      <c r="K8" s="137"/>
      <c r="L8" s="139"/>
      <c r="N8" s="600">
        <f>IF(K9="Quý I",1,IF(K9="Quý II",4,IF(K9="Quý III",7,IF(K9="Quý IV",10,""))))</f>
        <v>7</v>
      </c>
      <c r="O8" s="601">
        <f>IF(K9="Quý I",3,IF(K9="Quý II",6,IF(K9="Quý III",9,IF(K9="Quý IV",12,""))))</f>
        <v>9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996"/>
      <c r="B9" s="145" t="s">
        <v>15</v>
      </c>
      <c r="C9" s="146" t="s">
        <v>140</v>
      </c>
      <c r="D9" s="993"/>
      <c r="E9" s="1000"/>
      <c r="F9" s="252" t="s">
        <v>141</v>
      </c>
      <c r="G9" s="147" t="s">
        <v>142</v>
      </c>
      <c r="H9" s="594" t="s">
        <v>143</v>
      </c>
      <c r="I9" s="993"/>
      <c r="K9" s="177" t="s">
        <v>411</v>
      </c>
      <c r="L9" s="139"/>
      <c r="M9" s="463" t="s">
        <v>561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2168500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42559</v>
      </c>
      <c r="B12" s="155" t="str">
        <f ca="1">IF(ROWS($1:1)&gt;COUNT(Dong2),"",OFFSET(TH!D$1,SMALL(Dong2,ROWS($1:1)),))</f>
        <v>GBC</v>
      </c>
      <c r="C12" s="155">
        <f ca="1">IF(ROWS($1:1)&gt;COUNT(Dong2),"",OFFSET(TH!E$1,SMALL(Dong2,ROWS($1:1)),))</f>
        <v>42559</v>
      </c>
      <c r="D12" s="234" t="str">
        <f ca="1">IF(ROWS($1:1)&gt;COUNT(Dong2),"",OFFSET(TH!F$1,SMALL(Dong2,ROWS($1:1)),))</f>
        <v>Nộp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40700000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602">
        <f ca="1">IF(A12&lt;&gt;"",H11+F12-G12,0)</f>
        <v>42868500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42559</v>
      </c>
      <c r="B13" s="155" t="str">
        <f ca="1">IF(ROWS($1:2)&gt;COUNT(Dong2),"",OFFSET(TH!D$1,SMALL(Dong2,ROWS($1:2)),))</f>
        <v>GBN</v>
      </c>
      <c r="C13" s="155">
        <f ca="1">IF(ROWS($1:2)&gt;COUNT(Dong2),"",OFFSET(TH!E$1,SMALL(Dong2,ROWS($1:2)),))</f>
        <v>42559</v>
      </c>
      <c r="D13" s="234" t="str">
        <f ca="1">IF(ROWS($1:2)&gt;COUNT(Dong2),"",OFFSET(TH!F$1,SMALL(Dong2,ROWS($1:2)),))</f>
        <v>Thanh toán tiền thuê kho</v>
      </c>
      <c r="E13" s="155" t="str">
        <f ca="1">IF(ROWS($1:2)&gt;COUNT(Dong2),"",IF(OFFSET(TH!M$1,SMALL(Dong2,ROWS($1:2)),)=$I$6,OFFSET(TH!L$1,SMALL(Dong2,ROWS($1:2)),),OFFSET(TH!M$1,SMALL(Dong2,ROWS($1:2)),)))</f>
        <v>331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40700000</v>
      </c>
      <c r="H13" s="602">
        <f t="shared" ref="H13:H40" ca="1" si="0">IF(A13&lt;&gt;"",H12+F13-G13,0)</f>
        <v>2168500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42559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42559</v>
      </c>
      <c r="D14" s="234" t="str">
        <f ca="1">IF(ROWS($1:3)&gt;COUNT(Dong2),"",OFFSET(TH!F$1,SMALL(Dong2,ROWS($1:3)),))</f>
        <v>Phí chuyển tiền</v>
      </c>
      <c r="E14" s="155" t="str">
        <f ca="1">IF(ROWS($1:3)&gt;COUNT(Dong2),"",IF(OFFSET(TH!M$1,SMALL(Dong2,ROWS($1:3)),)=$I$6,OFFSET(TH!L$1,SMALL(Dong2,ROWS($1:3)),),OFFSET(TH!M$1,SMALL(Dong2,ROWS($1:3)),)))</f>
        <v>642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602">
        <f t="shared" ca="1" si="0"/>
        <v>2148500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42559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42559</v>
      </c>
      <c r="D15" s="234" t="str">
        <f ca="1">IF(ROWS($1:4)&gt;COUNT(Dong2),"",OFFSET(TH!F$1,SMALL(Dong2,ROWS($1:4)),))</f>
        <v>VAT Phí chuyển tiền</v>
      </c>
      <c r="E15" s="155" t="str">
        <f ca="1">IF(ROWS($1:4)&gt;COUNT(Dong2),"",IF(OFFSET(TH!M$1,SMALL(Dong2,ROWS($1:4)),)=$I$6,OFFSET(TH!L$1,SMALL(Dong2,ROWS($1:4)),),OFFSET(TH!M$1,SMALL(Dong2,ROWS($1:4)),)))</f>
        <v>1331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602">
        <f t="shared" ca="1" si="0"/>
        <v>2146500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42559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42559</v>
      </c>
      <c r="D16" s="234" t="str">
        <f ca="1">IF(ROWS($1:5)&gt;COUNT(Dong2),"",OFFSET(TH!F$1,SMALL(Dong2,ROWS($1:5)),))</f>
        <v>Phí chuyển tiền trong ngày</v>
      </c>
      <c r="E16" s="155" t="str">
        <f ca="1">IF(ROWS($1:5)&gt;COUNT(Dong2),"",IF(OFFSET(TH!M$1,SMALL(Dong2,ROWS($1:5)),)=$I$6,OFFSET(TH!L$1,SMALL(Dong2,ROWS($1:5)),),OFFSET(TH!M$1,SMALL(Dong2,ROWS($1:5)),)))</f>
        <v>642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20000</v>
      </c>
      <c r="H16" s="602">
        <f t="shared" ca="1" si="0"/>
        <v>2126500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42559</v>
      </c>
      <c r="B17" s="155" t="str">
        <f ca="1">IF(ROWS($1:6)&gt;COUNT(Dong2),"",OFFSET(TH!D$1,SMALL(Dong2,ROWS($1:6)),))</f>
        <v>GBN</v>
      </c>
      <c r="C17" s="155">
        <f ca="1">IF(ROWS($1:6)&gt;COUNT(Dong2),"",OFFSET(TH!E$1,SMALL(Dong2,ROWS($1:6)),))</f>
        <v>42559</v>
      </c>
      <c r="D17" s="234" t="str">
        <f ca="1">IF(ROWS($1:6)&gt;COUNT(Dong2),"",OFFSET(TH!F$1,SMALL(Dong2,ROWS($1:6)),))</f>
        <v>VAT Phí chuyển tiền trong ngày</v>
      </c>
      <c r="E17" s="155" t="str">
        <f ca="1">IF(ROWS($1:6)&gt;COUNT(Dong2),"",IF(OFFSET(TH!M$1,SMALL(Dong2,ROWS($1:6)),)=$I$6,OFFSET(TH!L$1,SMALL(Dong2,ROWS($1:6)),),OFFSET(TH!M$1,SMALL(Dong2,ROWS($1:6)),)))</f>
        <v>1331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2000</v>
      </c>
      <c r="H17" s="602">
        <f t="shared" ca="1" si="0"/>
        <v>2124500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42576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42576</v>
      </c>
      <c r="D18" s="234" t="str">
        <f ca="1">IF(ROWS($1:7)&gt;COUNT(Dong2),"",OFFSET(TH!F$1,SMALL(Dong2,ROWS($1:7)),))</f>
        <v>Lãi tiền gửi</v>
      </c>
      <c r="E18" s="155" t="str">
        <f ca="1">IF(ROWS($1:7)&gt;COUNT(Dong2),"",IF(OFFSET(TH!M$1,SMALL(Dong2,ROWS($1:7)),)=$I$6,OFFSET(TH!L$1,SMALL(Dong2,ROWS($1:7)),),OFFSET(TH!M$1,SMALL(Dong2,ROWS($1:7)),)))</f>
        <v>515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1428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602">
        <f t="shared" ca="1" si="0"/>
        <v>2125928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42576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42576</v>
      </c>
      <c r="D19" s="234" t="str">
        <f ca="1">IF(ROWS($1:8)&gt;COUNT(Dong2),"",OFFSET(TH!F$1,SMALL(Dong2,ROWS($1:8)),))</f>
        <v>Phí quản lý tài khoản</v>
      </c>
      <c r="E19" s="155" t="str">
        <f ca="1">IF(ROWS($1:8)&gt;COUNT(Dong2),"",IF(OFFSET(TH!M$1,SMALL(Dong2,ROWS($1:8)),)=$I$6,OFFSET(TH!L$1,SMALL(Dong2,ROWS($1:8)),),OFFSET(TH!M$1,SMALL(Dong2,ROWS($1:8)),)))</f>
        <v>642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602">
        <f t="shared" ca="1" si="0"/>
        <v>2115928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42576</v>
      </c>
      <c r="B20" s="155" t="str">
        <f ca="1">IF(ROWS($1:9)&gt;COUNT(Dong2),"",OFFSET(TH!D$1,SMALL(Dong2,ROWS($1:9)),))</f>
        <v>GBN</v>
      </c>
      <c r="C20" s="155">
        <f ca="1">IF(ROWS($1:9)&gt;COUNT(Dong2),"",OFFSET(TH!E$1,SMALL(Dong2,ROWS($1:9)),))</f>
        <v>42576</v>
      </c>
      <c r="D20" s="234" t="str">
        <f ca="1">IF(ROWS($1:9)&gt;COUNT(Dong2),"",OFFSET(TH!F$1,SMALL(Dong2,ROWS($1:9)),))</f>
        <v>VAT Phí quản lý tài khoản</v>
      </c>
      <c r="E20" s="155" t="str">
        <f ca="1">IF(ROWS($1:9)&gt;COUNT(Dong2),"",IF(OFFSET(TH!M$1,SMALL(Dong2,ROWS($1:9)),)=$I$6,OFFSET(TH!L$1,SMALL(Dong2,ROWS($1:9)),),OFFSET(TH!M$1,SMALL(Dong2,ROWS($1:9)),)))</f>
        <v>1331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1000</v>
      </c>
      <c r="H20" s="602">
        <f t="shared" ca="1" si="0"/>
        <v>2114928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42579</v>
      </c>
      <c r="B21" s="155" t="str">
        <f ca="1">IF(ROWS($1:10)&gt;COUNT(Dong2),"",OFFSET(TH!D$1,SMALL(Dong2,ROWS($1:10)),))</f>
        <v>GBC</v>
      </c>
      <c r="C21" s="155">
        <f ca="1">IF(ROWS($1:10)&gt;COUNT(Dong2),"",OFFSET(TH!E$1,SMALL(Dong2,ROWS($1:10)),))</f>
        <v>42579</v>
      </c>
      <c r="D21" s="234" t="str">
        <f ca="1">IF(ROWS($1:10)&gt;COUNT(Dong2),"",OFFSET(TH!F$1,SMALL(Dong2,ROWS($1:10)),))</f>
        <v>Thu tiền hàng</v>
      </c>
      <c r="E21" s="155" t="str">
        <f ca="1">IF(ROWS($1:10)&gt;COUNT(Dong2),"",IF(OFFSET(TH!M$1,SMALL(Dong2,ROWS($1:10)),)=$I$6,OFFSET(TH!L$1,SMALL(Dong2,ROWS($1:10)),),OFFSET(TH!M$1,SMALL(Dong2,ROWS($1:10)),)))</f>
        <v>131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14300000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602">
        <f t="shared" ca="1" si="0"/>
        <v>16414928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42580</v>
      </c>
      <c r="B22" s="155" t="str">
        <f ca="1">IF(ROWS($1:11)&gt;COUNT(Dong2),"",OFFSET(TH!D$1,SMALL(Dong2,ROWS($1:11)),))</f>
        <v>GBN</v>
      </c>
      <c r="C22" s="155">
        <f ca="1">IF(ROWS($1:11)&gt;COUNT(Dong2),"",OFFSET(TH!E$1,SMALL(Dong2,ROWS($1:11)),))</f>
        <v>42580</v>
      </c>
      <c r="D22" s="234" t="str">
        <f ca="1">IF(ROWS($1:11)&gt;COUNT(Dong2),"",OFFSET(TH!F$1,SMALL(Dong2,ROWS($1:11)),))</f>
        <v>Rút tiền mặt</v>
      </c>
      <c r="E22" s="155" t="str">
        <f ca="1">IF(ROWS($1:11)&gt;COUNT(Dong2),"",IF(OFFSET(TH!M$1,SMALL(Dong2,ROWS($1:11)),)=$I$6,OFFSET(TH!L$1,SMALL(Dong2,ROWS($1:11)),),OFFSET(TH!M$1,SMALL(Dong2,ROWS($1:11)),)))</f>
        <v>1111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15000000</v>
      </c>
      <c r="H22" s="602">
        <f t="shared" ca="1" si="0"/>
        <v>1414928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42580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42580</v>
      </c>
      <c r="D23" s="234" t="str">
        <f ca="1">IF(ROWS($1:12)&gt;COUNT(Dong2),"",OFFSET(TH!F$1,SMALL(Dong2,ROWS($1:12)),))</f>
        <v>Thu tiền hàng</v>
      </c>
      <c r="E23" s="155" t="str">
        <f ca="1">IF(ROWS($1:12)&gt;COUNT(Dong2),"",IF(OFFSET(TH!M$1,SMALL(Dong2,ROWS($1:12)),)=$I$6,OFFSET(TH!L$1,SMALL(Dong2,ROWS($1:12)),),OFFSET(TH!M$1,SMALL(Dong2,ROWS($1:12)),)))</f>
        <v>131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25674000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2">
        <f t="shared" ca="1" si="0"/>
        <v>27088928</v>
      </c>
      <c r="I23" s="468"/>
      <c r="L23" s="139"/>
      <c r="Q23" s="590"/>
    </row>
    <row r="24" spans="1:17" s="144" customFormat="1" ht="18.75" customHeight="1">
      <c r="A24" s="155">
        <f ca="1">IF(ROWS($1:13)&gt;COUNT(Dong2),"",OFFSET(TH!C$1,SMALL(Dong2,ROWS($1:13)),))</f>
        <v>42583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42583</v>
      </c>
      <c r="D24" s="234" t="str">
        <f ca="1">IF(ROWS($1:13)&gt;COUNT(Dong2),"",OFFSET(TH!F$1,SMALL(Dong2,ROWS($1:13)),))</f>
        <v>Thanh toán tiền hàng</v>
      </c>
      <c r="E24" s="155" t="str">
        <f ca="1">IF(ROWS($1:13)&gt;COUNT(Dong2),"",IF(OFFSET(TH!M$1,SMALL(Dong2,ROWS($1:13)),)=$I$6,OFFSET(TH!L$1,SMALL(Dong2,ROWS($1:13)),),OFFSET(TH!M$1,SMALL(Dong2,ROWS($1:13)),)))</f>
        <v>331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26000000</v>
      </c>
      <c r="H24" s="602">
        <f t="shared" ca="1" si="0"/>
        <v>1088928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42599</v>
      </c>
      <c r="B25" s="155" t="str">
        <f ca="1">IF(ROWS($1:14)&gt;COUNT(Dong2),"",OFFSET(TH!D$1,SMALL(Dong2,ROWS($1:14)),))</f>
        <v>GBC</v>
      </c>
      <c r="C25" s="155">
        <f ca="1">IF(ROWS($1:14)&gt;COUNT(Dong2),"",OFFSET(TH!E$1,SMALL(Dong2,ROWS($1:14)),))</f>
        <v>42599</v>
      </c>
      <c r="D25" s="234" t="str">
        <f ca="1">IF(ROWS($1:14)&gt;COUNT(Dong2),"",OFFSET(TH!F$1,SMALL(Dong2,ROWS($1:14)),))</f>
        <v>Thu tiền hàng</v>
      </c>
      <c r="E25" s="155" t="str">
        <f ca="1">IF(ROWS($1:14)&gt;COUNT(Dong2),"",IF(OFFSET(TH!M$1,SMALL(Dong2,ROWS($1:14)),)=$I$6,OFFSET(TH!L$1,SMALL(Dong2,ROWS($1:14)),),OFFSET(TH!M$1,SMALL(Dong2,ROWS($1:14)),)))</f>
        <v>131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12160500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602">
        <f t="shared" ca="1" si="0"/>
        <v>13249428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42599</v>
      </c>
      <c r="B26" s="155" t="str">
        <f ca="1">IF(ROWS($1:15)&gt;COUNT(Dong2),"",OFFSET(TH!D$1,SMALL(Dong2,ROWS($1:15)),))</f>
        <v>GBC</v>
      </c>
      <c r="C26" s="155">
        <f ca="1">IF(ROWS($1:15)&gt;COUNT(Dong2),"",OFFSET(TH!E$1,SMALL(Dong2,ROWS($1:15)),))</f>
        <v>42599</v>
      </c>
      <c r="D26" s="234" t="str">
        <f ca="1">IF(ROWS($1:15)&gt;COUNT(Dong2),"",OFFSET(TH!F$1,SMALL(Dong2,ROWS($1:15)),))</f>
        <v>Nộp tiền mặt</v>
      </c>
      <c r="E26" s="155" t="str">
        <f ca="1">IF(ROWS($1:15)&gt;COUNT(Dong2),"",IF(OFFSET(TH!M$1,SMALL(Dong2,ROWS($1:15)),)=$I$6,OFFSET(TH!L$1,SMALL(Dong2,ROWS($1:15)),),OFFSET(TH!M$1,SMALL(Dong2,ROWS($1:15)),)))</f>
        <v>1111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800000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602">
        <f t="shared" ca="1" si="0"/>
        <v>14049428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42599</v>
      </c>
      <c r="B27" s="155" t="str">
        <f ca="1">IF(ROWS($1:16)&gt;COUNT(Dong2),"",OFFSET(TH!D$1,SMALL(Dong2,ROWS($1:16)),))</f>
        <v>GBN</v>
      </c>
      <c r="C27" s="155">
        <f ca="1">IF(ROWS($1:16)&gt;COUNT(Dong2),"",OFFSET(TH!E$1,SMALL(Dong2,ROWS($1:16)),))</f>
        <v>42599</v>
      </c>
      <c r="D27" s="234" t="str">
        <f ca="1">IF(ROWS($1:16)&gt;COUNT(Dong2),"",OFFSET(TH!F$1,SMALL(Dong2,ROWS($1:16)),))</f>
        <v>Rút tiền mặt</v>
      </c>
      <c r="E27" s="155" t="str">
        <f ca="1">IF(ROWS($1:16)&gt;COUNT(Dong2),"",IF(OFFSET(TH!M$1,SMALL(Dong2,ROWS($1:16)),)=$I$6,OFFSET(TH!L$1,SMALL(Dong2,ROWS($1:16)),),OFFSET(TH!M$1,SMALL(Dong2,ROWS($1:16)),)))</f>
        <v>1111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13000000</v>
      </c>
      <c r="H27" s="602">
        <f t="shared" ca="1" si="0"/>
        <v>1049428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42601</v>
      </c>
      <c r="B28" s="155" t="str">
        <f ca="1">IF(ROWS($1:17)&gt;COUNT(Dong2),"",OFFSET(TH!D$1,SMALL(Dong2,ROWS($1:17)),))</f>
        <v>GBC</v>
      </c>
      <c r="C28" s="155">
        <f ca="1">IF(ROWS($1:17)&gt;COUNT(Dong2),"",OFFSET(TH!E$1,SMALL(Dong2,ROWS($1:17)),))</f>
        <v>42601</v>
      </c>
      <c r="D28" s="234" t="str">
        <f ca="1">IF(ROWS($1:17)&gt;COUNT(Dong2),"",OFFSET(TH!F$1,SMALL(Dong2,ROWS($1:17)),))</f>
        <v>Nộp tiền mặt</v>
      </c>
      <c r="E28" s="155" t="str">
        <f ca="1">IF(ROWS($1:17)&gt;COUNT(Dong2),"",IF(OFFSET(TH!M$1,SMALL(Dong2,ROWS($1:17)),)=$I$6,OFFSET(TH!L$1,SMALL(Dong2,ROWS($1:17)),),OFFSET(TH!M$1,SMALL(Dong2,ROWS($1:17)),)))</f>
        <v>1111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277000000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602">
        <f t="shared" ca="1" si="0"/>
        <v>278049428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42601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42601</v>
      </c>
      <c r="D29" s="234" t="str">
        <f ca="1">IF(ROWS($1:18)&gt;COUNT(Dong2),"",OFFSET(TH!F$1,SMALL(Dong2,ROWS($1:18)),))</f>
        <v>Thanh toán tiền hàng</v>
      </c>
      <c r="E29" s="155" t="str">
        <f ca="1">IF(ROWS($1:18)&gt;COUNT(Dong2),"",IF(OFFSET(TH!M$1,SMALL(Dong2,ROWS($1:18)),)=$I$6,OFFSET(TH!L$1,SMALL(Dong2,ROWS($1:18)),),OFFSET(TH!M$1,SMALL(Dong2,ROWS($1:18)),)))</f>
        <v>331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180000000</v>
      </c>
      <c r="H29" s="602">
        <f t="shared" ca="1" si="0"/>
        <v>98049428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42601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42601</v>
      </c>
      <c r="D30" s="234" t="str">
        <f ca="1">IF(ROWS($1:19)&gt;COUNT(Dong2),"",OFFSET(TH!F$1,SMALL(Dong2,ROWS($1:19)),))</f>
        <v>Phí chuyển tiền</v>
      </c>
      <c r="E30" s="155" t="str">
        <f ca="1">IF(ROWS($1:19)&gt;COUNT(Dong2),"",IF(OFFSET(TH!M$1,SMALL(Dong2,ROWS($1:19)),)=$I$6,OFFSET(TH!L$1,SMALL(Dong2,ROWS($1:19)),),OFFSET(TH!M$1,SMALL(Dong2,ROWS($1:19)),)))</f>
        <v>642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602">
        <f t="shared" ca="1" si="0"/>
        <v>98039428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42601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42601</v>
      </c>
      <c r="D31" s="234" t="str">
        <f ca="1">IF(ROWS($1:20)&gt;COUNT(Dong2),"",OFFSET(TH!F$1,SMALL(Dong2,ROWS($1:20)),))</f>
        <v>VAT Phí chuyển tiền</v>
      </c>
      <c r="E31" s="155" t="str">
        <f ca="1">IF(ROWS($1:20)&gt;COUNT(Dong2),"",IF(OFFSET(TH!M$1,SMALL(Dong2,ROWS($1:20)),)=$I$6,OFFSET(TH!L$1,SMALL(Dong2,ROWS($1:20)),),OFFSET(TH!M$1,SMALL(Dong2,ROWS($1:20)),)))</f>
        <v>1331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</v>
      </c>
      <c r="H31" s="602">
        <f t="shared" ca="1" si="0"/>
        <v>98038428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42601</v>
      </c>
      <c r="B32" s="155" t="str">
        <f ca="1">IF(ROWS($1:21)&gt;COUNT(Dong2),"",OFFSET(TH!D$1,SMALL(Dong2,ROWS($1:21)),))</f>
        <v>GBN</v>
      </c>
      <c r="C32" s="155">
        <f ca="1">IF(ROWS($1:21)&gt;COUNT(Dong2),"",OFFSET(TH!E$1,SMALL(Dong2,ROWS($1:21)),))</f>
        <v>42601</v>
      </c>
      <c r="D32" s="234" t="str">
        <f ca="1">IF(ROWS($1:21)&gt;COUNT(Dong2),"",OFFSET(TH!F$1,SMALL(Dong2,ROWS($1:21)),))</f>
        <v>Thanh toán tiền hàng</v>
      </c>
      <c r="E32" s="155" t="str">
        <f ca="1">IF(ROWS($1:21)&gt;COUNT(Dong2),"",IF(OFFSET(TH!M$1,SMALL(Dong2,ROWS($1:21)),)=$I$6,OFFSET(TH!L$1,SMALL(Dong2,ROWS($1:21)),),OFFSET(TH!M$1,SMALL(Dong2,ROWS($1:21)),)))</f>
        <v>331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56000000</v>
      </c>
      <c r="H32" s="602">
        <f t="shared" ca="1" si="0"/>
        <v>42038428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42601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42601</v>
      </c>
      <c r="D33" s="234" t="str">
        <f ca="1">IF(ROWS($1:22)&gt;COUNT(Dong2),"",OFFSET(TH!F$1,SMALL(Dong2,ROWS($1:22)),))</f>
        <v>Phí chuyển tiền</v>
      </c>
      <c r="E33" s="155" t="str">
        <f ca="1">IF(ROWS($1:22)&gt;COUNT(Dong2),"",IF(OFFSET(TH!M$1,SMALL(Dong2,ROWS($1:22)),)=$I$6,OFFSET(TH!L$1,SMALL(Dong2,ROWS($1:22)),),OFFSET(TH!M$1,SMALL(Dong2,ROWS($1:22)),)))</f>
        <v>642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20000</v>
      </c>
      <c r="H33" s="602">
        <f t="shared" ca="1" si="0"/>
        <v>42018428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42601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42601</v>
      </c>
      <c r="D34" s="234" t="str">
        <f ca="1">IF(ROWS($1:23)&gt;COUNT(Dong2),"",OFFSET(TH!F$1,SMALL(Dong2,ROWS($1:23)),))</f>
        <v>VAT Phí chuyển tiền</v>
      </c>
      <c r="E34" s="155" t="str">
        <f ca="1">IF(ROWS($1:23)&gt;COUNT(Dong2),"",IF(OFFSET(TH!M$1,SMALL(Dong2,ROWS($1:23)),)=$I$6,OFFSET(TH!L$1,SMALL(Dong2,ROWS($1:23)),),OFFSET(TH!M$1,SMALL(Dong2,ROWS($1:23)),)))</f>
        <v>1331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</v>
      </c>
      <c r="H34" s="602">
        <f t="shared" ca="1" si="0"/>
        <v>42016428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42601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42601</v>
      </c>
      <c r="D35" s="234" t="str">
        <f ca="1">IF(ROWS($1:24)&gt;COUNT(Dong2),"",OFFSET(TH!F$1,SMALL(Dong2,ROWS($1:24)),))</f>
        <v>Thanh toán tiền thuê kho</v>
      </c>
      <c r="E35" s="155" t="str">
        <f ca="1">IF(ROWS($1:24)&gt;COUNT(Dong2),"",IF(OFFSET(TH!M$1,SMALL(Dong2,ROWS($1:24)),)=$I$6,OFFSET(TH!L$1,SMALL(Dong2,ROWS($1:24)),),OFFSET(TH!M$1,SMALL(Dong2,ROWS($1:24)),)))</f>
        <v>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40700000</v>
      </c>
      <c r="H35" s="602">
        <f t="shared" ca="1" si="0"/>
        <v>1316428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42601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42601</v>
      </c>
      <c r="D36" s="234" t="str">
        <f ca="1">IF(ROWS($1:25)&gt;COUNT(Dong2),"",OFFSET(TH!F$1,SMALL(Dong2,ROWS($1:25)),))</f>
        <v>Phí chuyển tiền</v>
      </c>
      <c r="E36" s="155" t="str">
        <f ca="1">IF(ROWS($1:25)&gt;COUNT(Dong2),"",IF(OFFSET(TH!M$1,SMALL(Dong2,ROWS($1:25)),)=$I$6,OFFSET(TH!L$1,SMALL(Dong2,ROWS($1:25)),),OFFSET(TH!M$1,SMALL(Dong2,ROWS($1:25)),)))</f>
        <v>642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20000</v>
      </c>
      <c r="H36" s="602">
        <f t="shared" ca="1" si="0"/>
        <v>1296428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42601</v>
      </c>
      <c r="B37" s="155" t="str">
        <f ca="1">IF(ROWS($1:26)&gt;COUNT(Dong2),"",OFFSET(TH!D$1,SMALL(Dong2,ROWS($1:26)),))</f>
        <v>GBN</v>
      </c>
      <c r="C37" s="155">
        <f ca="1">IF(ROWS($1:26)&gt;COUNT(Dong2),"",OFFSET(TH!E$1,SMALL(Dong2,ROWS($1:26)),))</f>
        <v>42601</v>
      </c>
      <c r="D37" s="234" t="str">
        <f ca="1">IF(ROWS($1:26)&gt;COUNT(Dong2),"",OFFSET(TH!F$1,SMALL(Dong2,ROWS($1:26)),))</f>
        <v>VAT Phí chuyển tiền</v>
      </c>
      <c r="E37" s="155" t="str">
        <f ca="1">IF(ROWS($1:26)&gt;COUNT(Dong2),"",IF(OFFSET(TH!M$1,SMALL(Dong2,ROWS($1:26)),)=$I$6,OFFSET(TH!L$1,SMALL(Dong2,ROWS($1:26)),),OFFSET(TH!M$1,SMALL(Dong2,ROWS($1:26)),)))</f>
        <v>1331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2000</v>
      </c>
      <c r="H37" s="602">
        <f t="shared" ca="1" si="0"/>
        <v>1294428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42601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42601</v>
      </c>
      <c r="D38" s="234" t="str">
        <f ca="1">IF(ROWS($1:27)&gt;COUNT(Dong2),"",OFFSET(TH!F$1,SMALL(Dong2,ROWS($1:27)),))</f>
        <v>Phí kiểm đếm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83010</v>
      </c>
      <c r="H38" s="602">
        <f t="shared" ca="1" si="0"/>
        <v>1211418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42601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42601</v>
      </c>
      <c r="D39" s="234" t="str">
        <f ca="1">IF(ROWS($1:28)&gt;COUNT(Dong2),"",OFFSET(TH!F$1,SMALL(Dong2,ROWS($1:28)),))</f>
        <v>VAT Phí kiểm đếm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8301</v>
      </c>
      <c r="H39" s="602">
        <f t="shared" ca="1" si="0"/>
        <v>1203117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42606</v>
      </c>
      <c r="B40" s="155" t="str">
        <f ca="1">IF(ROWS($1:29)&gt;COUNT(Dong2),"",OFFSET(TH!D$1,SMALL(Dong2,ROWS($1:29)),))</f>
        <v>GBC</v>
      </c>
      <c r="C40" s="155">
        <f ca="1">IF(ROWS($1:29)&gt;COUNT(Dong2),"",OFFSET(TH!E$1,SMALL(Dong2,ROWS($1:29)),))</f>
        <v>42606</v>
      </c>
      <c r="D40" s="234" t="str">
        <f ca="1">IF(ROWS($1:29)&gt;COUNT(Dong2),"",OFFSET(TH!F$1,SMALL(Dong2,ROWS($1:29)),))</f>
        <v>Thu tiền hàng</v>
      </c>
      <c r="E40" s="155" t="str">
        <f ca="1">IF(ROWS($1:29)&gt;COUNT(Dong2),"",IF(OFFSET(TH!M$1,SMALL(Dong2,ROWS($1:29)),)=$I$6,OFFSET(TH!L$1,SMALL(Dong2,ROWS($1:29)),),OFFSET(TH!M$1,SMALL(Dong2,ROWS($1:29)),)))</f>
        <v>131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9389600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602">
        <f t="shared" ca="1" si="0"/>
        <v>10592717</v>
      </c>
      <c r="I40" s="468"/>
    </row>
    <row r="41" spans="1:12" s="144" customFormat="1" ht="18.75" customHeight="1">
      <c r="A41" s="155">
        <f ca="1">IF(ROWS($1:30)&gt;COUNT(Dong2),"",OFFSET(TH!C$1,SMALL(Dong2,ROWS($1:30)),))</f>
        <v>42607</v>
      </c>
      <c r="B41" s="155" t="str">
        <f ca="1">IF(ROWS($1:30)&gt;COUNT(Dong2),"",OFFSET(TH!D$1,SMALL(Dong2,ROWS($1:30)),))</f>
        <v>GBC</v>
      </c>
      <c r="C41" s="155">
        <f ca="1">IF(ROWS($1:30)&gt;COUNT(Dong2),"",OFFSET(TH!E$1,SMALL(Dong2,ROWS($1:30)),))</f>
        <v>42607</v>
      </c>
      <c r="D41" s="234" t="str">
        <f ca="1">IF(ROWS($1:30)&gt;COUNT(Dong2),"",OFFSET(TH!F$1,SMALL(Dong2,ROWS($1:30)),))</f>
        <v>Lãi tiền gửi</v>
      </c>
      <c r="E41" s="155" t="str">
        <f ca="1">IF(ROWS($1:30)&gt;COUNT(Dong2),"",IF(OFFSET(TH!M$1,SMALL(Dong2,ROWS($1:30)),)=$I$6,OFFSET(TH!L$1,SMALL(Dong2,ROWS($1:30)),),OFFSET(TH!M$1,SMALL(Dong2,ROWS($1:30)),)))</f>
        <v>515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3371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602">
        <f t="shared" ref="H41:H43" ca="1" si="1">IF(A41&lt;&gt;"",H40+F41-G41,0)</f>
        <v>10596088</v>
      </c>
      <c r="I41" s="468"/>
    </row>
    <row r="42" spans="1:12" s="144" customFormat="1" ht="18.75" customHeight="1">
      <c r="A42" s="155">
        <f ca="1">IF(ROWS($1:31)&gt;COUNT(Dong2),"",OFFSET(TH!C$1,SMALL(Dong2,ROWS($1:31)),))</f>
        <v>42607</v>
      </c>
      <c r="B42" s="155" t="str">
        <f ca="1">IF(ROWS($1:31)&gt;COUNT(Dong2),"",OFFSET(TH!D$1,SMALL(Dong2,ROWS($1:31)),))</f>
        <v>GBC</v>
      </c>
      <c r="C42" s="155">
        <f ca="1">IF(ROWS($1:31)&gt;COUNT(Dong2),"",OFFSET(TH!E$1,SMALL(Dong2,ROWS($1:31)),))</f>
        <v>42607</v>
      </c>
      <c r="D42" s="234" t="str">
        <f ca="1">IF(ROWS($1:31)&gt;COUNT(Dong2),"",OFFSET(TH!F$1,SMALL(Dong2,ROWS($1:31)),))</f>
        <v>Thu tiền hàng</v>
      </c>
      <c r="E42" s="155" t="str">
        <f ca="1">IF(ROWS($1:31)&gt;COUNT(Dong2),"",IF(OFFSET(TH!M$1,SMALL(Dong2,ROWS($1:31)),)=$I$6,OFFSET(TH!L$1,SMALL(Dong2,ROWS($1:31)),),OFFSET(TH!M$1,SMALL(Dong2,ROWS($1:31)),)))</f>
        <v>131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12569920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602">
        <f t="shared" ca="1" si="1"/>
        <v>23166008</v>
      </c>
      <c r="I42" s="468"/>
    </row>
    <row r="43" spans="1:12" s="144" customFormat="1" ht="18.75" customHeight="1">
      <c r="A43" s="155">
        <f ca="1">IF(ROWS($1:32)&gt;COUNT(Dong2),"",OFFSET(TH!C$1,SMALL(Dong2,ROWS($1:32)),))</f>
        <v>42607</v>
      </c>
      <c r="B43" s="155" t="str">
        <f ca="1">IF(ROWS($1:32)&gt;COUNT(Dong2),"",OFFSET(TH!D$1,SMALL(Dong2,ROWS($1:32)),))</f>
        <v>GBN</v>
      </c>
      <c r="C43" s="155">
        <f ca="1">IF(ROWS($1:32)&gt;COUNT(Dong2),"",OFFSET(TH!E$1,SMALL(Dong2,ROWS($1:32)),))</f>
        <v>42607</v>
      </c>
      <c r="D43" s="234" t="str">
        <f ca="1">IF(ROWS($1:32)&gt;COUNT(Dong2),"",OFFSET(TH!F$1,SMALL(Dong2,ROWS($1:32)),))</f>
        <v>Rút tiền mặt</v>
      </c>
      <c r="E43" s="155" t="str">
        <f ca="1">IF(ROWS($1:32)&gt;COUNT(Dong2),"",IF(OFFSET(TH!M$1,SMALL(Dong2,ROWS($1:32)),)=$I$6,OFFSET(TH!L$1,SMALL(Dong2,ROWS($1:32)),),OFFSET(TH!M$1,SMALL(Dong2,ROWS($1:32)),)))</f>
        <v>1111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9500000</v>
      </c>
      <c r="H43" s="602">
        <f t="shared" ca="1" si="1"/>
        <v>13666008</v>
      </c>
      <c r="I43" s="468"/>
    </row>
    <row r="44" spans="1:12" s="144" customFormat="1" ht="18.75" customHeight="1">
      <c r="A44" s="155">
        <f ca="1">IF(ROWS($1:33)&gt;COUNT(Dong2),"",OFFSET(TH!C$1,SMALL(Dong2,ROWS($1:33)),))</f>
        <v>42607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42607</v>
      </c>
      <c r="D44" s="234" t="str">
        <f ca="1">IF(ROWS($1:33)&gt;COUNT(Dong2),"",OFFSET(TH!F$1,SMALL(Dong2,ROWS($1:33)),))</f>
        <v>Phí rút tiền</v>
      </c>
      <c r="E44" s="155" t="str">
        <f ca="1">IF(ROWS($1:33)&gt;COUNT(Dong2),"",IF(OFFSET(TH!M$1,SMALL(Dong2,ROWS($1:33)),)=$I$6,OFFSET(TH!L$1,SMALL(Dong2,ROWS($1:33)),),OFFSET(TH!M$1,SMALL(Dong2,ROWS($1:33)),)))</f>
        <v>642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20000</v>
      </c>
      <c r="H44" s="602">
        <f t="shared" ref="H44" ca="1" si="2">IF(A44&lt;&gt;"",H43+F44-G44,0)</f>
        <v>13646008</v>
      </c>
      <c r="I44" s="468"/>
    </row>
    <row r="45" spans="1:12" s="144" customFormat="1" ht="18.75" customHeight="1">
      <c r="A45" s="155">
        <f ca="1">IF(ROWS($1:34)&gt;COUNT(Dong2),"",OFFSET(TH!C$1,SMALL(Dong2,ROWS($1:34)),))</f>
        <v>42607</v>
      </c>
      <c r="B45" s="155" t="str">
        <f ca="1">IF(ROWS($1:34)&gt;COUNT(Dong2),"",OFFSET(TH!D$1,SMALL(Dong2,ROWS($1:34)),))</f>
        <v>GBN</v>
      </c>
      <c r="C45" s="155">
        <f ca="1">IF(ROWS($1:34)&gt;COUNT(Dong2),"",OFFSET(TH!E$1,SMALL(Dong2,ROWS($1:34)),))</f>
        <v>42607</v>
      </c>
      <c r="D45" s="234" t="str">
        <f ca="1">IF(ROWS($1:34)&gt;COUNT(Dong2),"",OFFSET(TH!F$1,SMALL(Dong2,ROWS($1:34)),))</f>
        <v>VAT Phí rút tiền</v>
      </c>
      <c r="E45" s="155" t="str">
        <f ca="1">IF(ROWS($1:34)&gt;COUNT(Dong2),"",IF(OFFSET(TH!M$1,SMALL(Dong2,ROWS($1:34)),)=$I$6,OFFSET(TH!L$1,SMALL(Dong2,ROWS($1:34)),),OFFSET(TH!M$1,SMALL(Dong2,ROWS($1:34)),)))</f>
        <v>1331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2000</v>
      </c>
      <c r="H45" s="602">
        <f t="shared" ref="H45:H90" ca="1" si="3">IF(A45&lt;&gt;"",H44+F45-G45,0)</f>
        <v>13644008</v>
      </c>
      <c r="I45" s="468"/>
    </row>
    <row r="46" spans="1:12" s="144" customFormat="1" ht="18.75" customHeight="1">
      <c r="A46" s="155">
        <f ca="1">IF(ROWS($1:35)&gt;COUNT(Dong2),"",OFFSET(TH!C$1,SMALL(Dong2,ROWS($1:35)),))</f>
        <v>42607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42607</v>
      </c>
      <c r="D46" s="234" t="str">
        <f ca="1">IF(ROWS($1:35)&gt;COUNT(Dong2),"",OFFSET(TH!F$1,SMALL(Dong2,ROWS($1:35)),))</f>
        <v>Phí quản lý tài khoản</v>
      </c>
      <c r="E46" s="155" t="str">
        <f ca="1">IF(ROWS($1:35)&gt;COUNT(Dong2),"",IF(OFFSET(TH!M$1,SMALL(Dong2,ROWS($1:35)),)=$I$6,OFFSET(TH!L$1,SMALL(Dong2,ROWS($1:35)),),OFFSET(TH!M$1,SMALL(Dong2,ROWS($1:35)),)))</f>
        <v>642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10000</v>
      </c>
      <c r="H46" s="602">
        <f t="shared" ca="1" si="3"/>
        <v>13634008</v>
      </c>
      <c r="I46" s="468"/>
    </row>
    <row r="47" spans="1:12" s="144" customFormat="1" ht="18.75" customHeight="1">
      <c r="A47" s="155">
        <f ca="1">IF(ROWS($1:36)&gt;COUNT(Dong2),"",OFFSET(TH!C$1,SMALL(Dong2,ROWS($1:36)),))</f>
        <v>42607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42607</v>
      </c>
      <c r="D47" s="234" t="str">
        <f ca="1">IF(ROWS($1:36)&gt;COUNT(Dong2),"",OFFSET(TH!F$1,SMALL(Dong2,ROWS($1:36)),))</f>
        <v>VAT Phí quản lý tài khoản</v>
      </c>
      <c r="E47" s="155" t="str">
        <f ca="1">IF(ROWS($1:36)&gt;COUNT(Dong2),"",IF(OFFSET(TH!M$1,SMALL(Dong2,ROWS($1:36)),)=$I$6,OFFSET(TH!L$1,SMALL(Dong2,ROWS($1:36)),),OFFSET(TH!M$1,SMALL(Dong2,ROWS($1:36)),)))</f>
        <v>1331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1000</v>
      </c>
      <c r="H47" s="602">
        <f t="shared" ca="1" si="3"/>
        <v>13633008</v>
      </c>
      <c r="I47" s="468"/>
    </row>
    <row r="48" spans="1:12" s="144" customFormat="1" ht="18.75" customHeight="1">
      <c r="A48" s="155">
        <f ca="1">IF(ROWS($1:37)&gt;COUNT(Dong2),"",OFFSET(TH!C$1,SMALL(Dong2,ROWS($1:37)),))</f>
        <v>42608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42608</v>
      </c>
      <c r="D48" s="234" t="str">
        <f ca="1">IF(ROWS($1:37)&gt;COUNT(Dong2),"",OFFSET(TH!F$1,SMALL(Dong2,ROWS($1:37)),))</f>
        <v>Rút tiền mặt</v>
      </c>
      <c r="E48" s="155" t="str">
        <f ca="1">IF(ROWS($1:37)&gt;COUNT(Dong2),"",IF(OFFSET(TH!M$1,SMALL(Dong2,ROWS($1:37)),)=$I$6,OFFSET(TH!L$1,SMALL(Dong2,ROWS($1:37)),),OFFSET(TH!M$1,SMALL(Dong2,ROWS($1:37)),)))</f>
        <v>1111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12600000</v>
      </c>
      <c r="H48" s="602">
        <f t="shared" ca="1" si="3"/>
        <v>1033008</v>
      </c>
      <c r="I48" s="468"/>
    </row>
    <row r="49" spans="1:9" s="144" customFormat="1" ht="18.75" customHeight="1">
      <c r="A49" s="155">
        <f ca="1">IF(ROWS($1:38)&gt;COUNT(Dong2),"",OFFSET(TH!C$1,SMALL(Dong2,ROWS($1:38)),))</f>
        <v>42613</v>
      </c>
      <c r="B49" s="155" t="str">
        <f ca="1">IF(ROWS($1:38)&gt;COUNT(Dong2),"",OFFSET(TH!D$1,SMALL(Dong2,ROWS($1:38)),))</f>
        <v>GBC</v>
      </c>
      <c r="C49" s="155">
        <f ca="1">IF(ROWS($1:38)&gt;COUNT(Dong2),"",OFFSET(TH!E$1,SMALL(Dong2,ROWS($1:38)),))</f>
        <v>42613</v>
      </c>
      <c r="D49" s="234" t="str">
        <f ca="1">IF(ROWS($1:38)&gt;COUNT(Dong2),"",OFFSET(TH!F$1,SMALL(Dong2,ROWS($1:38)),))</f>
        <v>Thu tiền hàng</v>
      </c>
      <c r="E49" s="155" t="str">
        <f ca="1">IF(ROWS($1:38)&gt;COUNT(Dong2),"",IF(OFFSET(TH!M$1,SMALL(Dong2,ROWS($1:38)),)=$I$6,OFFSET(TH!L$1,SMALL(Dong2,ROWS($1:38)),),OFFSET(TH!M$1,SMALL(Dong2,ROWS($1:38)),)))</f>
        <v>131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22752620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602">
        <f t="shared" ca="1" si="3"/>
        <v>23785628</v>
      </c>
      <c r="I49" s="468"/>
    </row>
    <row r="50" spans="1:9" s="144" customFormat="1" ht="18.75" customHeight="1">
      <c r="A50" s="155">
        <f ca="1">IF(ROWS($1:39)&gt;COUNT(Dong2),"",OFFSET(TH!C$1,SMALL(Dong2,ROWS($1:39)),))</f>
        <v>42614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42614</v>
      </c>
      <c r="D50" s="234" t="str">
        <f ca="1">IF(ROWS($1:39)&gt;COUNT(Dong2),"",OFFSET(TH!F$1,SMALL(Dong2,ROWS($1:39)),))</f>
        <v>Rút tiền mặt</v>
      </c>
      <c r="E50" s="155" t="str">
        <f ca="1">IF(ROWS($1:39)&gt;COUNT(Dong2),"",IF(OFFSET(TH!M$1,SMALL(Dong2,ROWS($1:39)),)=$I$6,OFFSET(TH!L$1,SMALL(Dong2,ROWS($1:39)),),OFFSET(TH!M$1,SMALL(Dong2,ROWS($1:39)),)))</f>
        <v>1111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7000000</v>
      </c>
      <c r="H50" s="602">
        <f t="shared" ca="1" si="3"/>
        <v>16785628</v>
      </c>
      <c r="I50" s="468"/>
    </row>
    <row r="51" spans="1:9" s="144" customFormat="1" ht="18.75" customHeight="1">
      <c r="A51" s="155">
        <f ca="1">IF(ROWS($1:40)&gt;COUNT(Dong2),"",OFFSET(TH!C$1,SMALL(Dong2,ROWS($1:40)),))</f>
        <v>42614</v>
      </c>
      <c r="B51" s="155" t="str">
        <f ca="1">IF(ROWS($1:40)&gt;COUNT(Dong2),"",OFFSET(TH!D$1,SMALL(Dong2,ROWS($1:40)),))</f>
        <v>GBN</v>
      </c>
      <c r="C51" s="155">
        <f ca="1">IF(ROWS($1:40)&gt;COUNT(Dong2),"",OFFSET(TH!E$1,SMALL(Dong2,ROWS($1:40)),))</f>
        <v>42614</v>
      </c>
      <c r="D51" s="234" t="str">
        <f ca="1">IF(ROWS($1:40)&gt;COUNT(Dong2),"",OFFSET(TH!F$1,SMALL(Dong2,ROWS($1:40)),))</f>
        <v>Thanh toán tiền hàng</v>
      </c>
      <c r="E51" s="155" t="str">
        <f ca="1">IF(ROWS($1:40)&gt;COUNT(Dong2),"",IF(OFFSET(TH!M$1,SMALL(Dong2,ROWS($1:40)),)=$I$6,OFFSET(TH!L$1,SMALL(Dong2,ROWS($1:40)),),OFFSET(TH!M$1,SMALL(Dong2,ROWS($1:40)),)))</f>
        <v>331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15000000</v>
      </c>
      <c r="H51" s="602">
        <f t="shared" ca="1" si="3"/>
        <v>1785628</v>
      </c>
      <c r="I51" s="468"/>
    </row>
    <row r="52" spans="1:9" s="144" customFormat="1" ht="18.75" customHeight="1">
      <c r="A52" s="155">
        <f ca="1">IF(ROWS($1:41)&gt;COUNT(Dong2),"",OFFSET(TH!C$1,SMALL(Dong2,ROWS($1:41)),))</f>
        <v>42614</v>
      </c>
      <c r="B52" s="155" t="str">
        <f ca="1">IF(ROWS($1:41)&gt;COUNT(Dong2),"",OFFSET(TH!D$1,SMALL(Dong2,ROWS($1:41)),))</f>
        <v>GBN</v>
      </c>
      <c r="C52" s="155">
        <f ca="1">IF(ROWS($1:41)&gt;COUNT(Dong2),"",OFFSET(TH!E$1,SMALL(Dong2,ROWS($1:41)),))</f>
        <v>42614</v>
      </c>
      <c r="D52" s="234" t="str">
        <f ca="1">IF(ROWS($1:41)&gt;COUNT(Dong2),"",OFFSET(TH!F$1,SMALL(Dong2,ROWS($1:41)),))</f>
        <v>Phí chuyển tiền</v>
      </c>
      <c r="E52" s="155" t="str">
        <f ca="1">IF(ROWS($1:41)&gt;COUNT(Dong2),"",IF(OFFSET(TH!M$1,SMALL(Dong2,ROWS($1:41)),)=$I$6,OFFSET(TH!L$1,SMALL(Dong2,ROWS($1:41)),),OFFSET(TH!M$1,SMALL(Dong2,ROWS($1:41)),)))</f>
        <v>642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0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20000</v>
      </c>
      <c r="H52" s="602">
        <f t="shared" ca="1" si="3"/>
        <v>1765628</v>
      </c>
      <c r="I52" s="468"/>
    </row>
    <row r="53" spans="1:9" s="144" customFormat="1" ht="18.75" customHeight="1">
      <c r="A53" s="155">
        <f ca="1">IF(ROWS($1:42)&gt;COUNT(Dong2),"",OFFSET(TH!C$1,SMALL(Dong2,ROWS($1:42)),))</f>
        <v>42614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42614</v>
      </c>
      <c r="D53" s="234" t="str">
        <f ca="1">IF(ROWS($1:42)&gt;COUNT(Dong2),"",OFFSET(TH!F$1,SMALL(Dong2,ROWS($1:42)),))</f>
        <v>VAT Phí chuyển tiền</v>
      </c>
      <c r="E53" s="155" t="str">
        <f ca="1">IF(ROWS($1:42)&gt;COUNT(Dong2),"",IF(OFFSET(TH!M$1,SMALL(Dong2,ROWS($1:42)),)=$I$6,OFFSET(TH!L$1,SMALL(Dong2,ROWS($1:42)),),OFFSET(TH!M$1,SMALL(Dong2,ROWS($1:42)),)))</f>
        <v>1331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</v>
      </c>
      <c r="H53" s="602">
        <f t="shared" ca="1" si="3"/>
        <v>1763628</v>
      </c>
      <c r="I53" s="468"/>
    </row>
    <row r="54" spans="1:9" s="144" customFormat="1" ht="18.75" customHeight="1">
      <c r="A54" s="155">
        <f ca="1">IF(ROWS($1:43)&gt;COUNT(Dong2),"",OFFSET(TH!C$1,SMALL(Dong2,ROWS($1:43)),))</f>
        <v>42622</v>
      </c>
      <c r="B54" s="155" t="str">
        <f ca="1">IF(ROWS($1:43)&gt;COUNT(Dong2),"",OFFSET(TH!D$1,SMALL(Dong2,ROWS($1:43)),))</f>
        <v>GBC</v>
      </c>
      <c r="C54" s="155">
        <f ca="1">IF(ROWS($1:43)&gt;COUNT(Dong2),"",OFFSET(TH!E$1,SMALL(Dong2,ROWS($1:43)),))</f>
        <v>42622</v>
      </c>
      <c r="D54" s="234" t="str">
        <f ca="1">IF(ROWS($1:43)&gt;COUNT(Dong2),"",OFFSET(TH!F$1,SMALL(Dong2,ROWS($1:43)),))</f>
        <v>Thu tiền hàng</v>
      </c>
      <c r="E54" s="155" t="str">
        <f ca="1">IF(ROWS($1:43)&gt;COUNT(Dong2),"",IF(OFFSET(TH!M$1,SMALL(Dong2,ROWS($1:43)),)=$I$6,OFFSET(TH!L$1,SMALL(Dong2,ROWS($1:43)),),OFFSET(TH!M$1,SMALL(Dong2,ROWS($1:43)),)))</f>
        <v>131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34100000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602">
        <f t="shared" ca="1" si="3"/>
        <v>35863628</v>
      </c>
      <c r="I54" s="468"/>
    </row>
    <row r="55" spans="1:9" s="144" customFormat="1" ht="18.75" customHeight="1">
      <c r="A55" s="155">
        <f ca="1">IF(ROWS($1:44)&gt;COUNT(Dong2),"",OFFSET(TH!C$1,SMALL(Dong2,ROWS($1:44)),))</f>
        <v>42622</v>
      </c>
      <c r="B55" s="155" t="str">
        <f ca="1">IF(ROWS($1:44)&gt;COUNT(Dong2),"",OFFSET(TH!D$1,SMALL(Dong2,ROWS($1:44)),))</f>
        <v>GBC</v>
      </c>
      <c r="C55" s="155">
        <f ca="1">IF(ROWS($1:44)&gt;COUNT(Dong2),"",OFFSET(TH!E$1,SMALL(Dong2,ROWS($1:44)),))</f>
        <v>42622</v>
      </c>
      <c r="D55" s="234" t="str">
        <f ca="1">IF(ROWS($1:44)&gt;COUNT(Dong2),"",OFFSET(TH!F$1,SMALL(Dong2,ROWS($1:44)),))</f>
        <v>Nộp tiền mặt</v>
      </c>
      <c r="E55" s="155" t="str">
        <f ca="1">IF(ROWS($1:44)&gt;COUNT(Dong2),"",IF(OFFSET(TH!M$1,SMALL(Dong2,ROWS($1:44)),)=$I$6,OFFSET(TH!L$1,SMALL(Dong2,ROWS($1:44)),),OFFSET(TH!M$1,SMALL(Dong2,ROWS($1:44)),)))</f>
        <v>1111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5200000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602">
        <f t="shared" ca="1" si="3"/>
        <v>41063628</v>
      </c>
      <c r="I55" s="468"/>
    </row>
    <row r="56" spans="1:9" s="144" customFormat="1" ht="18.75" customHeight="1">
      <c r="A56" s="155">
        <f ca="1">IF(ROWS($1:45)&gt;COUNT(Dong2),"",OFFSET(TH!C$1,SMALL(Dong2,ROWS($1:45)),))</f>
        <v>42622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42622</v>
      </c>
      <c r="D56" s="234" t="str">
        <f ca="1">IF(ROWS($1:45)&gt;COUNT(Dong2),"",OFFSET(TH!F$1,SMALL(Dong2,ROWS($1:45)),))</f>
        <v>Thanh toán tiền hàng</v>
      </c>
      <c r="E56" s="155" t="str">
        <f ca="1">IF(ROWS($1:45)&gt;COUNT(Dong2),"",IF(OFFSET(TH!M$1,SMALL(Dong2,ROWS($1:45)),)=$I$6,OFFSET(TH!L$1,SMALL(Dong2,ROWS($1:45)),),OFFSET(TH!M$1,SMALL(Dong2,ROWS($1:45)),)))</f>
        <v>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40000000</v>
      </c>
      <c r="H56" s="602">
        <f t="shared" ca="1" si="3"/>
        <v>1063628</v>
      </c>
      <c r="I56" s="468"/>
    </row>
    <row r="57" spans="1:9" s="144" customFormat="1" ht="18.75" customHeight="1">
      <c r="A57" s="155">
        <f ca="1">IF(ROWS($1:46)&gt;COUNT(Dong2),"",OFFSET(TH!C$1,SMALL(Dong2,ROWS($1:46)),))</f>
        <v>42622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42622</v>
      </c>
      <c r="D57" s="234" t="str">
        <f ca="1">IF(ROWS($1:46)&gt;COUNT(Dong2),"",OFFSET(TH!F$1,SMALL(Dong2,ROWS($1:46)),))</f>
        <v>Phí chuyển tiền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2">
        <f t="shared" ca="1" si="3"/>
        <v>1053628</v>
      </c>
      <c r="I57" s="468"/>
    </row>
    <row r="58" spans="1:9" s="144" customFormat="1" ht="18.75" customHeight="1">
      <c r="A58" s="155">
        <f ca="1">IF(ROWS($1:47)&gt;COUNT(Dong2),"",OFFSET(TH!C$1,SMALL(Dong2,ROWS($1:47)),))</f>
        <v>42622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42622</v>
      </c>
      <c r="D58" s="234" t="str">
        <f ca="1">IF(ROWS($1:47)&gt;COUNT(Dong2),"",OFFSET(TH!F$1,SMALL(Dong2,ROWS($1:47)),))</f>
        <v>VAT Phí chuyển tiền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2">
        <f t="shared" ca="1" si="3"/>
        <v>1052628</v>
      </c>
      <c r="I58" s="468"/>
    </row>
    <row r="59" spans="1:9" s="144" customFormat="1" ht="18.75" customHeight="1">
      <c r="A59" s="155">
        <f ca="1">IF(ROWS($1:48)&gt;COUNT(Dong2),"",OFFSET(TH!C$1,SMALL(Dong2,ROWS($1:48)),))</f>
        <v>42625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42625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25773000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2">
        <f t="shared" ca="1" si="3"/>
        <v>26825628</v>
      </c>
      <c r="I59" s="468"/>
    </row>
    <row r="60" spans="1:9" s="144" customFormat="1" ht="18.75" customHeight="1">
      <c r="A60" s="155">
        <f ca="1">IF(ROWS($1:49)&gt;COUNT(Dong2),"",OFFSET(TH!C$1,SMALL(Dong2,ROWS($1:49)),))</f>
        <v>42625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42625</v>
      </c>
      <c r="D60" s="234" t="str">
        <f ca="1">IF(ROWS($1:49)&gt;COUNT(Dong2),"",OFFSET(TH!F$1,SMALL(Dong2,ROWS($1:49)),))</f>
        <v>Thanh toán tiền thuê kho</v>
      </c>
      <c r="E60" s="155" t="str">
        <f ca="1">IF(ROWS($1:49)&gt;COUNT(Dong2),"",IF(OFFSET(TH!M$1,SMALL(Dong2,ROWS($1:49)),)=$I$6,OFFSET(TH!L$1,SMALL(Dong2,ROWS($1:49)),),OFFSET(TH!M$1,SMALL(Dong2,ROWS($1:49)),)))</f>
        <v>331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20700000</v>
      </c>
      <c r="H60" s="602">
        <f t="shared" ca="1" si="3"/>
        <v>6125628</v>
      </c>
      <c r="I60" s="468"/>
    </row>
    <row r="61" spans="1:9" s="144" customFormat="1" ht="18.75" customHeight="1">
      <c r="A61" s="155">
        <f ca="1">IF(ROWS($1:50)&gt;COUNT(Dong2),"",OFFSET(TH!C$1,SMALL(Dong2,ROWS($1:50)),))</f>
        <v>42626</v>
      </c>
      <c r="B61" s="155" t="str">
        <f ca="1">IF(ROWS($1:50)&gt;COUNT(Dong2),"",OFFSET(TH!D$1,SMALL(Dong2,ROWS($1:50)),))</f>
        <v>GBN</v>
      </c>
      <c r="C61" s="155">
        <f ca="1">IF(ROWS($1:50)&gt;COUNT(Dong2),"",OFFSET(TH!E$1,SMALL(Dong2,ROWS($1:50)),))</f>
        <v>42626</v>
      </c>
      <c r="D61" s="234" t="str">
        <f ca="1">IF(ROWS($1:50)&gt;COUNT(Dong2),"",OFFSET(TH!F$1,SMALL(Dong2,ROWS($1:50)),))</f>
        <v>Rút tiền mặt</v>
      </c>
      <c r="E61" s="155" t="str">
        <f ca="1">IF(ROWS($1:50)&gt;COUNT(Dong2),"",IF(OFFSET(TH!M$1,SMALL(Dong2,ROWS($1:50)),)=$I$6,OFFSET(TH!L$1,SMALL(Dong2,ROWS($1:50)),),OFFSET(TH!M$1,SMALL(Dong2,ROWS($1:50)),)))</f>
        <v>1111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5000000</v>
      </c>
      <c r="H61" s="602">
        <f t="shared" ca="1" si="3"/>
        <v>1125628</v>
      </c>
      <c r="I61" s="468"/>
    </row>
    <row r="62" spans="1:9" s="144" customFormat="1" ht="18.75" customHeight="1">
      <c r="A62" s="155">
        <f ca="1">IF(ROWS($1:51)&gt;COUNT(Dong2),"",OFFSET(TH!C$1,SMALL(Dong2,ROWS($1:51)),))</f>
        <v>42626</v>
      </c>
      <c r="B62" s="155" t="str">
        <f ca="1">IF(ROWS($1:51)&gt;COUNT(Dong2),"",OFFSET(TH!D$1,SMALL(Dong2,ROWS($1:51)),))</f>
        <v>GBN</v>
      </c>
      <c r="C62" s="155">
        <f ca="1">IF(ROWS($1:51)&gt;COUNT(Dong2),"",OFFSET(TH!E$1,SMALL(Dong2,ROWS($1:51)),))</f>
        <v>42626</v>
      </c>
      <c r="D62" s="234" t="str">
        <f ca="1">IF(ROWS($1:51)&gt;COUNT(Dong2),"",OFFSET(TH!F$1,SMALL(Dong2,ROWS($1:51)),))</f>
        <v>Phí rút tiền</v>
      </c>
      <c r="E62" s="155" t="str">
        <f ca="1">IF(ROWS($1:51)&gt;COUNT(Dong2),"",IF(OFFSET(TH!M$1,SMALL(Dong2,ROWS($1:51)),)=$I$6,OFFSET(TH!L$1,SMALL(Dong2,ROWS($1:51)),),OFFSET(TH!M$1,SMALL(Dong2,ROWS($1:51)),)))</f>
        <v>642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20000</v>
      </c>
      <c r="H62" s="602">
        <f t="shared" ca="1" si="3"/>
        <v>1105628</v>
      </c>
      <c r="I62" s="468"/>
    </row>
    <row r="63" spans="1:9" s="144" customFormat="1" ht="18.75" customHeight="1">
      <c r="A63" s="155">
        <f ca="1">IF(ROWS($1:52)&gt;COUNT(Dong2),"",OFFSET(TH!C$1,SMALL(Dong2,ROWS($1:52)),))</f>
        <v>42626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42626</v>
      </c>
      <c r="D63" s="234" t="str">
        <f ca="1">IF(ROWS($1:52)&gt;COUNT(Dong2),"",OFFSET(TH!F$1,SMALL(Dong2,ROWS($1:52)),))</f>
        <v>VAT Phí rút tiền</v>
      </c>
      <c r="E63" s="155" t="str">
        <f ca="1">IF(ROWS($1:52)&gt;COUNT(Dong2),"",IF(OFFSET(TH!M$1,SMALL(Dong2,ROWS($1:52)),)=$I$6,OFFSET(TH!L$1,SMALL(Dong2,ROWS($1:52)),),OFFSET(TH!M$1,SMALL(Dong2,ROWS($1:52)),)))</f>
        <v>1331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</v>
      </c>
      <c r="H63" s="602">
        <f t="shared" ca="1" si="3"/>
        <v>1103628</v>
      </c>
      <c r="I63" s="468"/>
    </row>
    <row r="64" spans="1:9" s="144" customFormat="1" ht="18.75" customHeight="1">
      <c r="A64" s="155">
        <f ca="1">IF(ROWS($1:53)&gt;COUNT(Dong2),"",OFFSET(TH!C$1,SMALL(Dong2,ROWS($1:53)),))</f>
        <v>42626</v>
      </c>
      <c r="B64" s="155" t="str">
        <f ca="1">IF(ROWS($1:53)&gt;COUNT(Dong2),"",OFFSET(TH!D$1,SMALL(Dong2,ROWS($1:53)),))</f>
        <v>GBC</v>
      </c>
      <c r="C64" s="155">
        <f ca="1">IF(ROWS($1:53)&gt;COUNT(Dong2),"",OFFSET(TH!E$1,SMALL(Dong2,ROWS($1:53)),))</f>
        <v>42626</v>
      </c>
      <c r="D64" s="234" t="str">
        <f ca="1">IF(ROWS($1:53)&gt;COUNT(Dong2),"",OFFSET(TH!F$1,SMALL(Dong2,ROWS($1:53)),))</f>
        <v>Thu tiền hàng</v>
      </c>
      <c r="E64" s="155" t="str">
        <f ca="1">IF(ROWS($1:53)&gt;COUNT(Dong2),"",IF(OFFSET(TH!M$1,SMALL(Dong2,ROWS($1:53)),)=$I$6,OFFSET(TH!L$1,SMALL(Dong2,ROWS($1:53)),),OFFSET(TH!M$1,SMALL(Dong2,ROWS($1:53)),)))</f>
        <v>131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11632720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602">
        <f t="shared" ca="1" si="3"/>
        <v>12736348</v>
      </c>
      <c r="I64" s="468"/>
    </row>
    <row r="65" spans="1:9" s="144" customFormat="1" ht="18.75" customHeight="1">
      <c r="A65" s="155">
        <f ca="1">IF(ROWS($1:54)&gt;COUNT(Dong2),"",OFFSET(TH!C$1,SMALL(Dong2,ROWS($1:54)),))</f>
        <v>42627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42627</v>
      </c>
      <c r="D65" s="234" t="str">
        <f ca="1">IF(ROWS($1:54)&gt;COUNT(Dong2),"",OFFSET(TH!F$1,SMALL(Dong2,ROWS($1:54)),))</f>
        <v>Rút tiền mặt</v>
      </c>
      <c r="E65" s="155" t="str">
        <f ca="1">IF(ROWS($1:54)&gt;COUNT(Dong2),"",IF(OFFSET(TH!M$1,SMALL(Dong2,ROWS($1:54)),)=$I$6,OFFSET(TH!L$1,SMALL(Dong2,ROWS($1:54)),),OFFSET(TH!M$1,SMALL(Dong2,ROWS($1:54)),)))</f>
        <v>1111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11600000</v>
      </c>
      <c r="H65" s="602">
        <f t="shared" ca="1" si="3"/>
        <v>1136348</v>
      </c>
      <c r="I65" s="468"/>
    </row>
    <row r="66" spans="1:9" s="144" customFormat="1" ht="18.75" customHeight="1">
      <c r="A66" s="155">
        <f ca="1">IF(ROWS($1:55)&gt;COUNT(Dong2),"",OFFSET(TH!C$1,SMALL(Dong2,ROWS($1:55)),))</f>
        <v>42628</v>
      </c>
      <c r="B66" s="155" t="str">
        <f ca="1">IF(ROWS($1:55)&gt;COUNT(Dong2),"",OFFSET(TH!D$1,SMALL(Dong2,ROWS($1:55)),))</f>
        <v>GBN</v>
      </c>
      <c r="C66" s="155">
        <f ca="1">IF(ROWS($1:55)&gt;COUNT(Dong2),"",OFFSET(TH!E$1,SMALL(Dong2,ROWS($1:55)),))</f>
        <v>42628</v>
      </c>
      <c r="D66" s="234" t="str">
        <f ca="1">IF(ROWS($1:55)&gt;COUNT(Dong2),"",OFFSET(TH!F$1,SMALL(Dong2,ROWS($1:55)),))</f>
        <v>Phí điều chỉnh chuyển tiền lại</v>
      </c>
      <c r="E66" s="155" t="str">
        <f ca="1">IF(ROWS($1:55)&gt;COUNT(Dong2),"",IF(OFFSET(TH!M$1,SMALL(Dong2,ROWS($1:55)),)=$I$6,OFFSET(TH!L$1,SMALL(Dong2,ROWS($1:55)),),OFFSET(TH!M$1,SMALL(Dong2,ROWS($1:55)),)))</f>
        <v>642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30000</v>
      </c>
      <c r="H66" s="602">
        <f t="shared" ca="1" si="3"/>
        <v>1106348</v>
      </c>
      <c r="I66" s="468"/>
    </row>
    <row r="67" spans="1:9" s="144" customFormat="1" ht="18.75" customHeight="1">
      <c r="A67" s="155">
        <f ca="1">IF(ROWS($1:56)&gt;COUNT(Dong2),"",OFFSET(TH!C$1,SMALL(Dong2,ROWS($1:56)),))</f>
        <v>42628</v>
      </c>
      <c r="B67" s="155" t="str">
        <f ca="1">IF(ROWS($1:56)&gt;COUNT(Dong2),"",OFFSET(TH!D$1,SMALL(Dong2,ROWS($1:56)),))</f>
        <v>GBN</v>
      </c>
      <c r="C67" s="155">
        <f ca="1">IF(ROWS($1:56)&gt;COUNT(Dong2),"",OFFSET(TH!E$1,SMALL(Dong2,ROWS($1:56)),))</f>
        <v>42628</v>
      </c>
      <c r="D67" s="234" t="str">
        <f ca="1">IF(ROWS($1:56)&gt;COUNT(Dong2),"",OFFSET(TH!F$1,SMALL(Dong2,ROWS($1:56)),))</f>
        <v>VAT Phí điều chỉnh chuyển tiền lại</v>
      </c>
      <c r="E67" s="155" t="str">
        <f ca="1">IF(ROWS($1:56)&gt;COUNT(Dong2),"",IF(OFFSET(TH!M$1,SMALL(Dong2,ROWS($1:56)),)=$I$6,OFFSET(TH!L$1,SMALL(Dong2,ROWS($1:56)),),OFFSET(TH!M$1,SMALL(Dong2,ROWS($1:56)),)))</f>
        <v>1331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3000</v>
      </c>
      <c r="H67" s="602">
        <f t="shared" ca="1" si="3"/>
        <v>1103348</v>
      </c>
      <c r="I67" s="468"/>
    </row>
    <row r="68" spans="1:9" s="144" customFormat="1" ht="18.75" customHeight="1">
      <c r="A68" s="155">
        <f ca="1">IF(ROWS($1:57)&gt;COUNT(Dong2),"",OFFSET(TH!C$1,SMALL(Dong2,ROWS($1:57)),))</f>
        <v>42632</v>
      </c>
      <c r="B68" s="155" t="str">
        <f ca="1">IF(ROWS($1:57)&gt;COUNT(Dong2),"",OFFSET(TH!D$1,SMALL(Dong2,ROWS($1:57)),))</f>
        <v>GBC</v>
      </c>
      <c r="C68" s="155">
        <f ca="1">IF(ROWS($1:57)&gt;COUNT(Dong2),"",OFFSET(TH!E$1,SMALL(Dong2,ROWS($1:57)),))</f>
        <v>42632</v>
      </c>
      <c r="D68" s="234" t="str">
        <f ca="1">IF(ROWS($1:57)&gt;COUNT(Dong2),"",OFFSET(TH!F$1,SMALL(Dong2,ROWS($1:57)),))</f>
        <v>Thu tiền hàng</v>
      </c>
      <c r="E68" s="155" t="str">
        <f ca="1">IF(ROWS($1:57)&gt;COUNT(Dong2),"",IF(OFFSET(TH!M$1,SMALL(Dong2,ROWS($1:57)),)=$I$6,OFFSET(TH!L$1,SMALL(Dong2,ROWS($1:57)),),OFFSET(TH!M$1,SMALL(Dong2,ROWS($1:57)),)))</f>
        <v>131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17681180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0</v>
      </c>
      <c r="H68" s="602">
        <f t="shared" ca="1" si="3"/>
        <v>18784528</v>
      </c>
      <c r="I68" s="468"/>
    </row>
    <row r="69" spans="1:9" s="144" customFormat="1" ht="18.75" customHeight="1">
      <c r="A69" s="155">
        <f ca="1">IF(ROWS($1:58)&gt;COUNT(Dong2),"",OFFSET(TH!C$1,SMALL(Dong2,ROWS($1:58)),))</f>
        <v>42633</v>
      </c>
      <c r="B69" s="155" t="str">
        <f ca="1">IF(ROWS($1:58)&gt;COUNT(Dong2),"",OFFSET(TH!D$1,SMALL(Dong2,ROWS($1:58)),))</f>
        <v>GBC</v>
      </c>
      <c r="C69" s="155">
        <f ca="1">IF(ROWS($1:58)&gt;COUNT(Dong2),"",OFFSET(TH!E$1,SMALL(Dong2,ROWS($1:58)),))</f>
        <v>42633</v>
      </c>
      <c r="D69" s="234" t="str">
        <f ca="1">IF(ROWS($1:58)&gt;COUNT(Dong2),"",OFFSET(TH!F$1,SMALL(Dong2,ROWS($1:58)),))</f>
        <v>Nộp tiền mặt</v>
      </c>
      <c r="E69" s="155" t="str">
        <f ca="1">IF(ROWS($1:58)&gt;COUNT(Dong2),"",IF(OFFSET(TH!M$1,SMALL(Dong2,ROWS($1:58)),)=$I$6,OFFSET(TH!L$1,SMALL(Dong2,ROWS($1:58)),),OFFSET(TH!M$1,SMALL(Dong2,ROWS($1:58)),)))</f>
        <v>1111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2300000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0</v>
      </c>
      <c r="H69" s="602">
        <f t="shared" ca="1" si="3"/>
        <v>21084528</v>
      </c>
      <c r="I69" s="468"/>
    </row>
    <row r="70" spans="1:9" s="144" customFormat="1" ht="18.75" customHeight="1">
      <c r="A70" s="155">
        <f ca="1">IF(ROWS($1:59)&gt;COUNT(Dong2),"",OFFSET(TH!C$1,SMALL(Dong2,ROWS($1:59)),))</f>
        <v>42633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42633</v>
      </c>
      <c r="D70" s="234" t="str">
        <f ca="1">IF(ROWS($1:59)&gt;COUNT(Dong2),"",OFFSET(TH!F$1,SMALL(Dong2,ROWS($1:59)),))</f>
        <v>Thanh toán tiền thuê kho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20000000</v>
      </c>
      <c r="H70" s="602">
        <f t="shared" ca="1" si="3"/>
        <v>1084528</v>
      </c>
      <c r="I70" s="468"/>
    </row>
    <row r="71" spans="1:9" s="144" customFormat="1" ht="18.75" customHeight="1">
      <c r="A71" s="155">
        <f ca="1">IF(ROWS($1:60)&gt;COUNT(Dong2),"",OFFSET(TH!C$1,SMALL(Dong2,ROWS($1:60)),))</f>
        <v>42633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42633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2">
        <f t="shared" ca="1" si="3"/>
        <v>1064528</v>
      </c>
      <c r="I71" s="468"/>
    </row>
    <row r="72" spans="1:9" s="144" customFormat="1" ht="18.75" customHeight="1">
      <c r="A72" s="155">
        <f ca="1">IF(ROWS($1:61)&gt;COUNT(Dong2),"",OFFSET(TH!C$1,SMALL(Dong2,ROWS($1:61)),))</f>
        <v>42633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42633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2">
        <f t="shared" ca="1" si="3"/>
        <v>1062528</v>
      </c>
      <c r="I72" s="468"/>
    </row>
    <row r="73" spans="1:9" s="144" customFormat="1" ht="18.75" customHeight="1">
      <c r="A73" s="155">
        <f ca="1">IF(ROWS($1:62)&gt;COUNT(Dong2),"",OFFSET(TH!C$1,SMALL(Dong2,ROWS($1:62)),))</f>
        <v>42633</v>
      </c>
      <c r="B73" s="155" t="str">
        <f ca="1">IF(ROWS($1:62)&gt;COUNT(Dong2),"",OFFSET(TH!D$1,SMALL(Dong2,ROWS($1:62)),))</f>
        <v>GBN</v>
      </c>
      <c r="C73" s="155">
        <f ca="1">IF(ROWS($1:62)&gt;COUNT(Dong2),"",OFFSET(TH!E$1,SMALL(Dong2,ROWS($1:62)),))</f>
        <v>42633</v>
      </c>
      <c r="D73" s="234" t="str">
        <f ca="1">IF(ROWS($1:62)&gt;COUNT(Dong2),"",OFFSET(TH!F$1,SMALL(Dong2,ROWS($1:62)),))</f>
        <v>Phí kiểm đếm</v>
      </c>
      <c r="E73" s="155" t="str">
        <f ca="1">IF(ROWS($1:62)&gt;COUNT(Dong2),"",IF(OFFSET(TH!M$1,SMALL(Dong2,ROWS($1:62)),)=$I$6,OFFSET(TH!L$1,SMALL(Dong2,ROWS($1:62)),),OFFSET(TH!M$1,SMALL(Dong2,ROWS($1:62)),)))</f>
        <v>642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602">
        <f t="shared" ca="1" si="3"/>
        <v>1042528</v>
      </c>
      <c r="I73" s="468"/>
    </row>
    <row r="74" spans="1:9" s="144" customFormat="1" ht="18.75" customHeight="1">
      <c r="A74" s="155">
        <f ca="1">IF(ROWS($1:63)&gt;COUNT(Dong2),"",OFFSET(TH!C$1,SMALL(Dong2,ROWS($1:63)),))</f>
        <v>42633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42633</v>
      </c>
      <c r="D74" s="234" t="str">
        <f ca="1">IF(ROWS($1:63)&gt;COUNT(Dong2),"",OFFSET(TH!F$1,SMALL(Dong2,ROWS($1:63)),))</f>
        <v>VAT Phí kiểm đếm</v>
      </c>
      <c r="E74" s="155" t="str">
        <f ca="1">IF(ROWS($1:63)&gt;COUNT(Dong2),"",IF(OFFSET(TH!M$1,SMALL(Dong2,ROWS($1:63)),)=$I$6,OFFSET(TH!L$1,SMALL(Dong2,ROWS($1:63)),),OFFSET(TH!M$1,SMALL(Dong2,ROWS($1:63)),)))</f>
        <v>1331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</v>
      </c>
      <c r="H74" s="602">
        <f t="shared" ca="1" si="3"/>
        <v>1040528</v>
      </c>
      <c r="I74" s="468"/>
    </row>
    <row r="75" spans="1:9" s="144" customFormat="1" ht="18.75" customHeight="1">
      <c r="A75" s="155">
        <f ca="1">IF(ROWS($1:64)&gt;COUNT(Dong2),"",OFFSET(TH!C$1,SMALL(Dong2,ROWS($1:64)),))</f>
        <v>42635</v>
      </c>
      <c r="B75" s="155" t="str">
        <f ca="1">IF(ROWS($1:64)&gt;COUNT(Dong2),"",OFFSET(TH!D$1,SMALL(Dong2,ROWS($1:64)),))</f>
        <v>GBC</v>
      </c>
      <c r="C75" s="155">
        <f ca="1">IF(ROWS($1:64)&gt;COUNT(Dong2),"",OFFSET(TH!E$1,SMALL(Dong2,ROWS($1:64)),))</f>
        <v>42635</v>
      </c>
      <c r="D75" s="234" t="str">
        <f ca="1">IF(ROWS($1:64)&gt;COUNT(Dong2),"",OFFSET(TH!F$1,SMALL(Dong2,ROWS($1:64)),))</f>
        <v>Nộp tiền mặt</v>
      </c>
      <c r="E75" s="155" t="str">
        <f ca="1">IF(ROWS($1:64)&gt;COUNT(Dong2),"",IF(OFFSET(TH!M$1,SMALL(Dong2,ROWS($1:64)),)=$I$6,OFFSET(TH!L$1,SMALL(Dong2,ROWS($1:64)),),OFFSET(TH!M$1,SMALL(Dong2,ROWS($1:64)),)))</f>
        <v>1111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44000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0</v>
      </c>
      <c r="H75" s="602">
        <f t="shared" ca="1" si="3"/>
        <v>1084528</v>
      </c>
      <c r="I75" s="468"/>
    </row>
    <row r="76" spans="1:9" s="144" customFormat="1" ht="18.75" customHeight="1">
      <c r="A76" s="155">
        <f ca="1">IF(ROWS($1:65)&gt;COUNT(Dong2),"",OFFSET(TH!C$1,SMALL(Dong2,ROWS($1:65)),))</f>
        <v>42635</v>
      </c>
      <c r="B76" s="155" t="str">
        <f ca="1">IF(ROWS($1:65)&gt;COUNT(Dong2),"",OFFSET(TH!D$1,SMALL(Dong2,ROWS($1:65)),))</f>
        <v>GBC</v>
      </c>
      <c r="C76" s="155">
        <f ca="1">IF(ROWS($1:65)&gt;COUNT(Dong2),"",OFFSET(TH!E$1,SMALL(Dong2,ROWS($1:65)),))</f>
        <v>42635</v>
      </c>
      <c r="D76" s="234" t="str">
        <f ca="1">IF(ROWS($1:65)&gt;COUNT(Dong2),"",OFFSET(TH!F$1,SMALL(Dong2,ROWS($1:65)),))</f>
        <v>Nộp tiền mặt</v>
      </c>
      <c r="E76" s="155" t="str">
        <f ca="1">IF(ROWS($1:65)&gt;COUNT(Dong2),"",IF(OFFSET(TH!M$1,SMALL(Dong2,ROWS($1:65)),)=$I$6,OFFSET(TH!L$1,SMALL(Dong2,ROWS($1:65)),),OFFSET(TH!M$1,SMALL(Dong2,ROWS($1:65)),)))</f>
        <v>1111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12295140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602">
        <f t="shared" ca="1" si="3"/>
        <v>13379668</v>
      </c>
      <c r="I76" s="468"/>
    </row>
    <row r="77" spans="1:9" s="144" customFormat="1" ht="18.75" customHeight="1">
      <c r="A77" s="155">
        <f ca="1">IF(ROWS($1:66)&gt;COUNT(Dong2),"",OFFSET(TH!C$1,SMALL(Dong2,ROWS($1:66)),))</f>
        <v>42635</v>
      </c>
      <c r="B77" s="155" t="str">
        <f ca="1">IF(ROWS($1:66)&gt;COUNT(Dong2),"",OFFSET(TH!D$1,SMALL(Dong2,ROWS($1:66)),))</f>
        <v>GBN</v>
      </c>
      <c r="C77" s="155">
        <f ca="1">IF(ROWS($1:66)&gt;COUNT(Dong2),"",OFFSET(TH!E$1,SMALL(Dong2,ROWS($1:66)),))</f>
        <v>42635</v>
      </c>
      <c r="D77" s="234" t="str">
        <f ca="1">IF(ROWS($1:66)&gt;COUNT(Dong2),"",OFFSET(TH!F$1,SMALL(Dong2,ROWS($1:66)),))</f>
        <v>Thanh toán tiền hàng</v>
      </c>
      <c r="E77" s="155" t="str">
        <f ca="1">IF(ROWS($1:66)&gt;COUNT(Dong2),"",IF(OFFSET(TH!M$1,SMALL(Dong2,ROWS($1:66)),)=$I$6,OFFSET(TH!L$1,SMALL(Dong2,ROWS($1:66)),),OFFSET(TH!M$1,SMALL(Dong2,ROWS($1:66)),)))</f>
        <v>331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12295140</v>
      </c>
      <c r="H77" s="602">
        <f t="shared" ca="1" si="3"/>
        <v>1084528</v>
      </c>
      <c r="I77" s="468"/>
    </row>
    <row r="78" spans="1:9" s="144" customFormat="1" ht="18.75" customHeight="1">
      <c r="A78" s="155">
        <f ca="1">IF(ROWS($1:67)&gt;COUNT(Dong2),"",OFFSET(TH!C$1,SMALL(Dong2,ROWS($1:67)),))</f>
        <v>42635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42635</v>
      </c>
      <c r="D78" s="234" t="str">
        <f ca="1">IF(ROWS($1:67)&gt;COUNT(Dong2),"",OFFSET(TH!F$1,SMALL(Dong2,ROWS($1:67)),))</f>
        <v>Phí chuyển tiền</v>
      </c>
      <c r="E78" s="155" t="str">
        <f ca="1">IF(ROWS($1:67)&gt;COUNT(Dong2),"",IF(OFFSET(TH!M$1,SMALL(Dong2,ROWS($1:67)),)=$I$6,OFFSET(TH!L$1,SMALL(Dong2,ROWS($1:67)),),OFFSET(TH!M$1,SMALL(Dong2,ROWS($1:67)),)))</f>
        <v>642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602">
        <f t="shared" ca="1" si="3"/>
        <v>1064528</v>
      </c>
      <c r="I78" s="468"/>
    </row>
    <row r="79" spans="1:9" s="144" customFormat="1" ht="18.75" customHeight="1">
      <c r="A79" s="155">
        <f ca="1">IF(ROWS($1:68)&gt;COUNT(Dong2),"",OFFSET(TH!C$1,SMALL(Dong2,ROWS($1:68)),))</f>
        <v>42635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42635</v>
      </c>
      <c r="D79" s="234" t="str">
        <f ca="1">IF(ROWS($1:68)&gt;COUNT(Dong2),"",OFFSET(TH!F$1,SMALL(Dong2,ROWS($1:68)),))</f>
        <v>VAT Phí chuyển tiền</v>
      </c>
      <c r="E79" s="155" t="str">
        <f ca="1">IF(ROWS($1:68)&gt;COUNT(Dong2),"",IF(OFFSET(TH!M$1,SMALL(Dong2,ROWS($1:68)),)=$I$6,OFFSET(TH!L$1,SMALL(Dong2,ROWS($1:68)),),OFFSET(TH!M$1,SMALL(Dong2,ROWS($1:68)),)))</f>
        <v>1331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</v>
      </c>
      <c r="H79" s="602">
        <f t="shared" ca="1" si="3"/>
        <v>1062528</v>
      </c>
      <c r="I79" s="468"/>
    </row>
    <row r="80" spans="1:9" s="144" customFormat="1" ht="18.75" customHeight="1">
      <c r="A80" s="155">
        <f ca="1">IF(ROWS($1:69)&gt;COUNT(Dong2),"",OFFSET(TH!C$1,SMALL(Dong2,ROWS($1:69)),))</f>
        <v>42635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42635</v>
      </c>
      <c r="D80" s="234" t="str">
        <f ca="1">IF(ROWS($1:69)&gt;COUNT(Dong2),"",OFFSET(TH!F$1,SMALL(Dong2,ROWS($1:69)),))</f>
        <v>Phí kiểm đếm</v>
      </c>
      <c r="E80" s="155" t="str">
        <f ca="1">IF(ROWS($1:69)&gt;COUNT(Dong2),"",IF(OFFSET(TH!M$1,SMALL(Dong2,ROWS($1:69)),)=$I$6,OFFSET(TH!L$1,SMALL(Dong2,ROWS($1:69)),),OFFSET(TH!M$1,SMALL(Dong2,ROWS($1:69)),)))</f>
        <v>642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20000</v>
      </c>
      <c r="H80" s="602">
        <f t="shared" ca="1" si="3"/>
        <v>1042528</v>
      </c>
      <c r="I80" s="468"/>
    </row>
    <row r="81" spans="1:21" s="144" customFormat="1" ht="18.75" customHeight="1">
      <c r="A81" s="155">
        <f ca="1">IF(ROWS($1:70)&gt;COUNT(Dong2),"",OFFSET(TH!C$1,SMALL(Dong2,ROWS($1:70)),))</f>
        <v>42635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42635</v>
      </c>
      <c r="D81" s="234" t="str">
        <f ca="1">IF(ROWS($1:70)&gt;COUNT(Dong2),"",OFFSET(TH!F$1,SMALL(Dong2,ROWS($1:70)),))</f>
        <v>VAT Phí kiểm đếm</v>
      </c>
      <c r="E81" s="155" t="str">
        <f ca="1">IF(ROWS($1:70)&gt;COUNT(Dong2),"",IF(OFFSET(TH!M$1,SMALL(Dong2,ROWS($1:70)),)=$I$6,OFFSET(TH!L$1,SMALL(Dong2,ROWS($1:70)),),OFFSET(TH!M$1,SMALL(Dong2,ROWS($1:70)),)))</f>
        <v>1331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</v>
      </c>
      <c r="H81" s="602">
        <f t="shared" ca="1" si="3"/>
        <v>1040528</v>
      </c>
      <c r="I81" s="468"/>
    </row>
    <row r="82" spans="1:21" s="144" customFormat="1" ht="18.75" customHeight="1">
      <c r="A82" s="155">
        <f ca="1">IF(ROWS($1:71)&gt;COUNT(Dong2),"",OFFSET(TH!C$1,SMALL(Dong2,ROWS($1:71)),))</f>
        <v>42638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42638</v>
      </c>
      <c r="D82" s="234" t="str">
        <f ca="1">IF(ROWS($1:71)&gt;COUNT(Dong2),"",OFFSET(TH!F$1,SMALL(Dong2,ROWS($1:71)),))</f>
        <v>Phí quản lý tài khoản</v>
      </c>
      <c r="E82" s="155" t="str">
        <f ca="1">IF(ROWS($1:71)&gt;COUNT(Dong2),"",IF(OFFSET(TH!M$1,SMALL(Dong2,ROWS($1:71)),)=$I$6,OFFSET(TH!L$1,SMALL(Dong2,ROWS($1:71)),),OFFSET(TH!M$1,SMALL(Dong2,ROWS($1:71)),)))</f>
        <v>642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10000</v>
      </c>
      <c r="H82" s="602">
        <f t="shared" ca="1" si="3"/>
        <v>1030528</v>
      </c>
      <c r="I82" s="468"/>
    </row>
    <row r="83" spans="1:21" s="144" customFormat="1" ht="18.75" customHeight="1">
      <c r="A83" s="155">
        <f ca="1">IF(ROWS($1:72)&gt;COUNT(Dong2),"",OFFSET(TH!C$1,SMALL(Dong2,ROWS($1:72)),))</f>
        <v>42638</v>
      </c>
      <c r="B83" s="155" t="str">
        <f ca="1">IF(ROWS($1:72)&gt;COUNT(Dong2),"",OFFSET(TH!D$1,SMALL(Dong2,ROWS($1:72)),))</f>
        <v>GBN</v>
      </c>
      <c r="C83" s="155">
        <f ca="1">IF(ROWS($1:72)&gt;COUNT(Dong2),"",OFFSET(TH!E$1,SMALL(Dong2,ROWS($1:72)),))</f>
        <v>42638</v>
      </c>
      <c r="D83" s="234" t="str">
        <f ca="1">IF(ROWS($1:72)&gt;COUNT(Dong2),"",OFFSET(TH!F$1,SMALL(Dong2,ROWS($1:72)),))</f>
        <v>VAT Phí quản lý tài khoản</v>
      </c>
      <c r="E83" s="155" t="str">
        <f ca="1">IF(ROWS($1:72)&gt;COUNT(Dong2),"",IF(OFFSET(TH!M$1,SMALL(Dong2,ROWS($1:72)),)=$I$6,OFFSET(TH!L$1,SMALL(Dong2,ROWS($1:72)),),OFFSET(TH!M$1,SMALL(Dong2,ROWS($1:72)),)))</f>
        <v>1331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1000</v>
      </c>
      <c r="H83" s="602">
        <f t="shared" ca="1" si="3"/>
        <v>1029528</v>
      </c>
      <c r="I83" s="468"/>
    </row>
    <row r="84" spans="1:21" s="144" customFormat="1" ht="18.75" customHeight="1">
      <c r="A84" s="155">
        <f ca="1">IF(ROWS($1:73)&gt;COUNT(Dong2),"",OFFSET(TH!C$1,SMALL(Dong2,ROWS($1:73)),))</f>
        <v>42638</v>
      </c>
      <c r="B84" s="155" t="str">
        <f ca="1">IF(ROWS($1:73)&gt;COUNT(Dong2),"",OFFSET(TH!D$1,SMALL(Dong2,ROWS($1:73)),))</f>
        <v>GBC</v>
      </c>
      <c r="C84" s="155">
        <f ca="1">IF(ROWS($1:73)&gt;COUNT(Dong2),"",OFFSET(TH!E$1,SMALL(Dong2,ROWS($1:73)),))</f>
        <v>42638</v>
      </c>
      <c r="D84" s="234" t="str">
        <f ca="1">IF(ROWS($1:73)&gt;COUNT(Dong2),"",OFFSET(TH!F$1,SMALL(Dong2,ROWS($1:73)),))</f>
        <v>Lãi tiền gửi</v>
      </c>
      <c r="E84" s="155" t="str">
        <f ca="1">IF(ROWS($1:73)&gt;COUNT(Dong2),"",IF(OFFSET(TH!M$1,SMALL(Dong2,ROWS($1:73)),)=$I$6,OFFSET(TH!L$1,SMALL(Dong2,ROWS($1:73)),),OFFSET(TH!M$1,SMALL(Dong2,ROWS($1:73)),)))</f>
        <v>515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2126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0</v>
      </c>
      <c r="H84" s="602">
        <f t="shared" ca="1" si="3"/>
        <v>1031654</v>
      </c>
      <c r="I84" s="468"/>
    </row>
    <row r="85" spans="1:21" s="144" customFormat="1" ht="18.75" customHeight="1">
      <c r="A85" s="155">
        <f ca="1">IF(ROWS($1:74)&gt;COUNT(Dong2),"",OFFSET(TH!C$1,SMALL(Dong2,ROWS($1:74)),))</f>
        <v>42639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42639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22226930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2">
        <f t="shared" ref="H85:H89" ca="1" si="4">IF(A85&lt;&gt;"",H84+F85-G85,0)</f>
        <v>23258584</v>
      </c>
      <c r="I85" s="468"/>
    </row>
    <row r="86" spans="1:21" s="144" customFormat="1" ht="18.75" customHeight="1">
      <c r="A86" s="155">
        <f ca="1">IF(ROWS($1:75)&gt;COUNT(Dong2),"",OFFSET(TH!C$1,SMALL(Dong2,ROWS($1:75)),))</f>
        <v>42639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42639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22000000</v>
      </c>
      <c r="H86" s="602">
        <f t="shared" ca="1" si="4"/>
        <v>1258584</v>
      </c>
      <c r="I86" s="468"/>
    </row>
    <row r="87" spans="1:21" s="144" customFormat="1" ht="18.75" customHeight="1">
      <c r="A87" s="155">
        <f ca="1">IF(ROWS($1:76)&gt;COUNT(Dong2),"",OFFSET(TH!C$1,SMALL(Dong2,ROWS($1:76)),))</f>
        <v>42643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42643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19101500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2">
        <f t="shared" ca="1" si="4"/>
        <v>20360084</v>
      </c>
      <c r="I87" s="468"/>
    </row>
    <row r="88" spans="1:21" s="144" customFormat="1" ht="18.75" customHeight="1">
      <c r="A88" s="155" t="str">
        <f ca="1">IF(ROWS($1:77)&gt;COUNT(Dong2),"",OFFSET(TH!C$1,SMALL(Dong2,ROWS($1:77)),))</f>
        <v/>
      </c>
      <c r="B88" s="155" t="str">
        <f ca="1">IF(ROWS($1:77)&gt;COUNT(Dong2),"",OFFSET(TH!D$1,SMALL(Dong2,ROWS($1:77)),))</f>
        <v/>
      </c>
      <c r="C88" s="155" t="str">
        <f ca="1">IF(ROWS($1:77)&gt;COUNT(Dong2),"",OFFSET(TH!E$1,SMALL(Dong2,ROWS($1:77)),))</f>
        <v/>
      </c>
      <c r="D88" s="234" t="str">
        <f ca="1">IF(ROWS($1:77)&gt;COUNT(Dong2),"",OFFSET(TH!F$1,SMALL(Dong2,ROWS($1:77)),))</f>
        <v/>
      </c>
      <c r="E88" s="155" t="str">
        <f ca="1">IF(ROWS($1:77)&gt;COUNT(Dong2),"",IF(OFFSET(TH!M$1,SMALL(Dong2,ROWS($1:77)),)=$I$6,OFFSET(TH!L$1,SMALL(Dong2,ROWS($1:77)),),OFFSET(TH!M$1,SMALL(Dong2,ROWS($1:77)),)))</f>
        <v/>
      </c>
      <c r="F88" s="4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602">
        <f t="shared" ca="1" si="4"/>
        <v>0</v>
      </c>
      <c r="I88" s="468"/>
    </row>
    <row r="89" spans="1:21" s="144" customFormat="1" ht="18.75" customHeight="1">
      <c r="A89" s="155" t="str">
        <f ca="1">IF(ROWS($1:78)&gt;COUNT(Dong2),"",OFFSET(TH!C$1,SMALL(Dong2,ROWS($1:78)),))</f>
        <v/>
      </c>
      <c r="B89" s="155" t="str">
        <f ca="1">IF(ROWS($1:78)&gt;COUNT(Dong2),"",OFFSET(TH!D$1,SMALL(Dong2,ROWS($1:78)),))</f>
        <v/>
      </c>
      <c r="C89" s="155" t="str">
        <f ca="1">IF(ROWS($1:78)&gt;COUNT(Dong2),"",OFFSET(TH!E$1,SMALL(Dong2,ROWS($1:78)),))</f>
        <v/>
      </c>
      <c r="D89" s="234" t="str">
        <f ca="1">IF(ROWS($1:78)&gt;COUNT(Dong2),"",OFFSET(TH!F$1,SMALL(Dong2,ROWS($1:78)),))</f>
        <v/>
      </c>
      <c r="E89" s="155" t="str">
        <f ca="1">IF(ROWS($1:78)&gt;COUNT(Dong2),"",IF(OFFSET(TH!M$1,SMALL(Dong2,ROWS($1:78)),)=$I$6,OFFSET(TH!L$1,SMALL(Dong2,ROWS($1:78)),),OFFSET(TH!M$1,SMALL(Dong2,ROWS($1:78)),)))</f>
        <v/>
      </c>
      <c r="F89" s="4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602">
        <f t="shared" ca="1" si="4"/>
        <v>0</v>
      </c>
      <c r="I89" s="468"/>
    </row>
    <row r="90" spans="1:21" s="144" customFormat="1" ht="18.75" customHeight="1">
      <c r="A90" s="155" t="str">
        <f ca="1">IF(ROWS($1:85)&gt;COUNT(Dong2),"",OFFSET(TH!C$1,SMALL(Dong2,ROWS($1:85)),))</f>
        <v/>
      </c>
      <c r="B90" s="155" t="str">
        <f ca="1">IF(ROWS($1:85)&gt;COUNT(Dong2),"",OFFSET(TH!D$1,SMALL(Dong2,ROWS($1:85)),))</f>
        <v/>
      </c>
      <c r="C90" s="155" t="str">
        <f ca="1">IF(ROWS($1:85)&gt;COUNT(Dong2),"",OFFSET(TH!E$1,SMALL(Dong2,ROWS($1:85)),))</f>
        <v/>
      </c>
      <c r="D90" s="234" t="str">
        <f ca="1">IF(ROWS($1:85)&gt;COUNT(Dong2),"",OFFSET(TH!F$1,SMALL(Dong2,ROWS($1:85)),))</f>
        <v/>
      </c>
      <c r="E90" s="155" t="str">
        <f ca="1">IF(ROWS($1:85)&gt;COUNT(Dong2),"",IF(OFFSET(TH!M$1,SMALL(Dong2,ROWS($1:85)),)=$I$6,OFFSET(TH!L$1,SMALL(Dong2,ROWS($1:85)),),OFFSET(TH!M$1,SMALL(Dong2,ROWS($1:85)),)))</f>
        <v/>
      </c>
      <c r="F90" s="4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0" s="4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0" s="602">
        <f t="shared" ca="1" si="3"/>
        <v>0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2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565708035</v>
      </c>
      <c r="G92" s="470">
        <f ca="1">SUM(G12:G91)</f>
        <v>547516451</v>
      </c>
      <c r="H92" s="470">
        <f ca="1">H11+F92-G92</f>
        <v>20360084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20360084</v>
      </c>
      <c r="I93" s="158"/>
    </row>
    <row r="94" spans="1:21" s="154" customFormat="1" ht="22.5" customHeight="1">
      <c r="A94" s="251" t="s">
        <v>155</v>
      </c>
      <c r="B94" s="160"/>
      <c r="F94" s="161"/>
      <c r="H94" s="595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8/7/ 2016</v>
      </c>
      <c r="B95" s="163"/>
      <c r="F95" s="161"/>
      <c r="H95" s="595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9  năm   2016</v>
      </c>
      <c r="H96" s="595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6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5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5"/>
  <sheetViews>
    <sheetView showZeros="0" topLeftCell="A4" workbookViewId="0">
      <pane ySplit="2" topLeftCell="A6" activePane="bottomLeft" state="frozen"/>
      <selection activeCell="A4" sqref="A4"/>
      <selection pane="bottomLeft" activeCell="C25" sqref="C25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20" t="str">
        <f>TH!$A$1</f>
        <v>Đơn vị: CÔNG TY TNHH SX TM KIM DUNG PHÁT</v>
      </c>
    </row>
    <row r="2" spans="1:8">
      <c r="A2" s="821" t="str">
        <f>TH!$A$2</f>
        <v>Địa chỉ: 1A227/1 Ấp 1, Phạm Văn Hai, Bình Chánh, TPHCM</v>
      </c>
    </row>
    <row r="3" spans="1:8" ht="27" customHeight="1">
      <c r="A3" s="1007" t="s">
        <v>336</v>
      </c>
      <c r="B3" s="1007"/>
      <c r="C3" s="1007"/>
      <c r="D3" s="1007"/>
      <c r="E3" s="1007"/>
      <c r="F3" s="1007"/>
      <c r="G3" s="1007"/>
      <c r="H3" s="1007"/>
    </row>
    <row r="4" spans="1:8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8" s="10" customFormat="1" ht="14.25" customHeight="1">
      <c r="A5" s="1009"/>
      <c r="B5" s="1011"/>
      <c r="C5" s="608" t="s">
        <v>42</v>
      </c>
      <c r="D5" s="608" t="s">
        <v>43</v>
      </c>
      <c r="E5" s="608" t="s">
        <v>42</v>
      </c>
      <c r="F5" s="608" t="s">
        <v>43</v>
      </c>
      <c r="G5" s="608" t="s">
        <v>42</v>
      </c>
      <c r="H5" s="608" t="s">
        <v>43</v>
      </c>
    </row>
    <row r="6" spans="1:8" s="10" customFormat="1" ht="16.5" customHeight="1">
      <c r="A6" s="6">
        <f t="shared" ref="A6:A28" si="0">IF(B6&lt;&gt;"",ROW()-5,"")</f>
        <v>1</v>
      </c>
      <c r="B6" s="7" t="s">
        <v>769</v>
      </c>
      <c r="C6" s="8"/>
      <c r="D6" s="8"/>
      <c r="E6" s="8">
        <f t="array" ref="E6">SUM(IF("131"&amp;B6=KHN&amp;KH,TH))</f>
        <v>8270680</v>
      </c>
      <c r="F6" s="8">
        <f t="array" ref="F6">SUM(IF("131"&amp;B6=KHC&amp;KH,TH))</f>
        <v>0</v>
      </c>
      <c r="G6" s="54">
        <f t="shared" ref="G6:G28" si="1">ROUND(MAX(C6+E6-D6-F6,0),2)</f>
        <v>8270680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428</v>
      </c>
      <c r="C7" s="8"/>
      <c r="D7" s="8"/>
      <c r="E7" s="8">
        <f t="array" ref="E7">SUM(IF("131"&amp;B7=KHN&amp;KH,TH))</f>
        <v>149030420</v>
      </c>
      <c r="F7" s="8">
        <f t="array" ref="F7">SUM(IF("131"&amp;B7=KHC&amp;KH,TH))</f>
        <v>75713770</v>
      </c>
      <c r="G7" s="54">
        <f t="shared" si="1"/>
        <v>73316650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422</v>
      </c>
      <c r="C8" s="8"/>
      <c r="D8" s="8"/>
      <c r="E8" s="8">
        <f t="array" ref="E8">SUM(IF("131"&amp;B8=KHN&amp;KH,TH))</f>
        <v>49398965</v>
      </c>
      <c r="F8" s="8">
        <f t="array" ref="F8">SUM(IF("131"&amp;B8=KHC&amp;KH,TH))</f>
        <v>17681180</v>
      </c>
      <c r="G8" s="54">
        <f t="shared" si="1"/>
        <v>31717785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437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426</v>
      </c>
      <c r="C10" s="8"/>
      <c r="D10" s="8"/>
      <c r="E10" s="8">
        <f t="array" ref="E10">SUM(IF("131"&amp;B10=KHN&amp;KH,TH))</f>
        <v>35423311</v>
      </c>
      <c r="F10" s="8">
        <f t="array" ref="F10">SUM(IF("131"&amp;B10=KHC&amp;KH,TH))</f>
        <v>0</v>
      </c>
      <c r="G10" s="54">
        <f t="shared" si="1"/>
        <v>35423311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425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424</v>
      </c>
      <c r="C12" s="8"/>
      <c r="D12" s="8"/>
      <c r="E12" s="8">
        <f t="array" ref="E12">SUM(IF("131"&amp;B12=KHN&amp;KH,TH))</f>
        <v>48400000</v>
      </c>
      <c r="F12" s="8">
        <f t="array" ref="F12">SUM(IF("131"&amp;B12=KHC&amp;KH,TH))</f>
        <v>48400000</v>
      </c>
      <c r="G12" s="54">
        <f t="shared" si="1"/>
        <v>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429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7">
        <f t="shared" si="1"/>
        <v>0</v>
      </c>
      <c r="H13" s="777">
        <f t="shared" si="2"/>
        <v>0</v>
      </c>
    </row>
    <row r="14" spans="1:8" s="10" customFormat="1" ht="16.5" customHeight="1">
      <c r="A14" s="6">
        <f t="shared" si="0"/>
        <v>9</v>
      </c>
      <c r="B14" s="7" t="s">
        <v>601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0</v>
      </c>
      <c r="G14" s="777">
        <f t="shared" si="1"/>
        <v>2486000</v>
      </c>
      <c r="H14" s="777">
        <f t="shared" si="2"/>
        <v>0</v>
      </c>
    </row>
    <row r="15" spans="1:8" s="10" customFormat="1" ht="16.5" customHeight="1">
      <c r="A15" s="6">
        <f t="shared" si="0"/>
        <v>10</v>
      </c>
      <c r="B15" s="7" t="s">
        <v>771</v>
      </c>
      <c r="C15" s="8"/>
      <c r="D15" s="8"/>
      <c r="E15" s="8">
        <f t="array" ref="E15">SUM(IF("131"&amp;B15=KHN&amp;KH,TH))</f>
        <v>26187150</v>
      </c>
      <c r="F15" s="8">
        <f t="array" ref="F15">SUM(IF("131"&amp;B15=KHC&amp;KH,TH))</f>
        <v>0</v>
      </c>
      <c r="G15" s="777">
        <f t="shared" si="1"/>
        <v>26187150</v>
      </c>
      <c r="H15" s="777">
        <f t="shared" si="2"/>
        <v>0</v>
      </c>
    </row>
    <row r="16" spans="1:8" s="10" customFormat="1" ht="16.5" customHeight="1">
      <c r="A16" s="6">
        <f t="shared" si="0"/>
        <v>11</v>
      </c>
      <c r="B16" s="7" t="s">
        <v>770</v>
      </c>
      <c r="C16" s="8"/>
      <c r="D16" s="8"/>
      <c r="E16" s="8">
        <f t="array" ref="E16">SUM(IF("131"&amp;B16=KHN&amp;KH,TH))</f>
        <v>19511525</v>
      </c>
      <c r="F16" s="8">
        <f t="array" ref="F16">SUM(IF("131"&amp;B16=KHC&amp;KH,TH))</f>
        <v>0</v>
      </c>
      <c r="G16" s="777">
        <f t="shared" si="1"/>
        <v>19511525</v>
      </c>
      <c r="H16" s="777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583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1754444</v>
      </c>
      <c r="G17" s="777">
        <f t="shared" si="1"/>
        <v>30</v>
      </c>
      <c r="H17" s="777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687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0</v>
      </c>
      <c r="G18" s="777">
        <f t="shared" si="1"/>
        <v>104148000</v>
      </c>
      <c r="H18" s="777">
        <f t="shared" si="2"/>
        <v>0</v>
      </c>
    </row>
    <row r="19" spans="1:8" s="10" customFormat="1" ht="16.5" customHeight="1">
      <c r="A19" s="6">
        <f t="shared" si="0"/>
        <v>14</v>
      </c>
      <c r="B19" s="7" t="s">
        <v>423</v>
      </c>
      <c r="C19" s="8"/>
      <c r="D19" s="8"/>
      <c r="E19" s="8">
        <f t="array" ref="E19">SUM(IF("131"&amp;B19=KHN&amp;KH,TH))</f>
        <v>33069190</v>
      </c>
      <c r="F19" s="8">
        <f t="array" ref="F19">SUM(IF("131"&amp;B19=KHC&amp;KH,TH))</f>
        <v>0</v>
      </c>
      <c r="G19" s="777">
        <f t="shared" si="1"/>
        <v>33069190</v>
      </c>
      <c r="H19" s="777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768</v>
      </c>
      <c r="C20" s="8"/>
      <c r="D20" s="8"/>
      <c r="E20" s="8">
        <f t="array" ref="E20">SUM(IF("131"&amp;B20=KHN&amp;KH,TH))</f>
        <v>5929000</v>
      </c>
      <c r="F20" s="8">
        <f t="array" ref="F20">SUM(IF("131"&amp;B20=KHC&amp;KH,TH))</f>
        <v>0</v>
      </c>
      <c r="G20" s="777">
        <f t="shared" si="1"/>
        <v>5929000</v>
      </c>
      <c r="H20" s="777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636</v>
      </c>
      <c r="C21" s="8"/>
      <c r="D21" s="8"/>
      <c r="E21" s="8">
        <f t="array" ref="E21">SUM(IF("131"&amp;B21=KHN&amp;KH,TH))</f>
        <v>17732000</v>
      </c>
      <c r="F21" s="8">
        <f t="array" ref="F21">SUM(IF("131"&amp;B21=KHC&amp;KH,TH))</f>
        <v>0</v>
      </c>
      <c r="G21" s="777">
        <f t="shared" si="1"/>
        <v>17732000</v>
      </c>
      <c r="H21" s="777">
        <f t="shared" si="2"/>
        <v>0</v>
      </c>
    </row>
    <row r="22" spans="1:8" s="10" customFormat="1" ht="16.5" customHeight="1">
      <c r="A22" s="6">
        <f t="shared" si="0"/>
        <v>17</v>
      </c>
      <c r="B22" s="7" t="s">
        <v>773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7">
        <f t="shared" si="1"/>
        <v>12640100</v>
      </c>
      <c r="H22" s="777">
        <f t="shared" si="2"/>
        <v>0</v>
      </c>
    </row>
    <row r="23" spans="1:8" s="10" customFormat="1" ht="16.5" customHeight="1">
      <c r="A23" s="6">
        <f t="shared" si="0"/>
        <v>18</v>
      </c>
      <c r="B23" s="7" t="s">
        <v>701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0</v>
      </c>
      <c r="G23" s="777">
        <f t="shared" si="1"/>
        <v>8100840</v>
      </c>
      <c r="H23" s="777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774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0</v>
      </c>
      <c r="G24" s="777">
        <f t="shared" si="1"/>
        <v>2970000</v>
      </c>
      <c r="H24" s="777">
        <f t="shared" si="2"/>
        <v>0</v>
      </c>
    </row>
    <row r="25" spans="1:8" s="10" customFormat="1" ht="16.5" customHeight="1">
      <c r="A25" s="6">
        <f t="shared" si="0"/>
        <v>20</v>
      </c>
      <c r="B25" s="7" t="s">
        <v>775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7">
        <f t="shared" si="1"/>
        <v>22867790</v>
      </c>
      <c r="H25" s="777">
        <f t="shared" si="2"/>
        <v>0</v>
      </c>
    </row>
    <row r="26" spans="1:8" s="10" customFormat="1" ht="16.5" customHeight="1">
      <c r="A26" s="6">
        <f t="shared" si="0"/>
        <v>21</v>
      </c>
      <c r="B26" s="7" t="s">
        <v>776</v>
      </c>
      <c r="C26" s="8"/>
      <c r="D26" s="8"/>
      <c r="E26" s="8">
        <f t="array" ref="E26">SUM(IF("131"&amp;B26=KHN&amp;KH,TH))</f>
        <v>3548160</v>
      </c>
      <c r="F26" s="8">
        <f t="array" ref="F26">SUM(IF("131"&amp;B26=KHC&amp;KH,TH))</f>
        <v>0</v>
      </c>
      <c r="G26" s="777">
        <f t="shared" si="1"/>
        <v>3548160</v>
      </c>
      <c r="H26" s="777">
        <f t="shared" si="2"/>
        <v>0</v>
      </c>
    </row>
    <row r="27" spans="1:8" s="10" customFormat="1" ht="16.5" customHeight="1">
      <c r="A27" s="6">
        <f t="shared" si="0"/>
        <v>22</v>
      </c>
      <c r="B27" s="7" t="s">
        <v>436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7">
        <f t="shared" si="1"/>
        <v>19338000</v>
      </c>
      <c r="H27" s="777">
        <f t="shared" si="2"/>
        <v>0</v>
      </c>
    </row>
    <row r="28" spans="1:8" s="10" customFormat="1" ht="16.5" customHeight="1">
      <c r="A28" s="6">
        <f t="shared" si="0"/>
        <v>23</v>
      </c>
      <c r="B28" s="7" t="s">
        <v>772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7">
        <f t="shared" si="1"/>
        <v>0</v>
      </c>
      <c r="H28" s="777">
        <f t="shared" si="2"/>
        <v>0</v>
      </c>
    </row>
    <row r="29" spans="1:8" s="10" customFormat="1" ht="16.5" customHeight="1">
      <c r="A29" s="6" t="str">
        <f t="shared" ref="A29" si="3">IF(B29&lt;&gt;"",ROW()-3,"")</f>
        <v/>
      </c>
      <c r="B29" s="43"/>
      <c r="C29" s="8"/>
      <c r="D29" s="8"/>
      <c r="E29" s="8"/>
      <c r="F29" s="8"/>
      <c r="G29" s="54"/>
      <c r="H29" s="54"/>
    </row>
    <row r="30" spans="1:8" s="14" customFormat="1" ht="14.25" customHeight="1">
      <c r="A30" s="11"/>
      <c r="B30" s="12" t="s">
        <v>39</v>
      </c>
      <c r="C30" s="13">
        <f t="shared" ref="C30:H30" si="4">SUM(C6:C29)</f>
        <v>0</v>
      </c>
      <c r="D30" s="13">
        <f t="shared" si="4"/>
        <v>0</v>
      </c>
      <c r="E30" s="13">
        <f t="shared" si="4"/>
        <v>661608625</v>
      </c>
      <c r="F30" s="13">
        <f t="shared" si="4"/>
        <v>234352414</v>
      </c>
      <c r="G30" s="13">
        <f t="shared" si="4"/>
        <v>427256211</v>
      </c>
      <c r="H30" s="13">
        <f t="shared" si="4"/>
        <v>0</v>
      </c>
    </row>
    <row r="31" spans="1:8">
      <c r="D31" s="182">
        <f>D30-CDPS!C15</f>
        <v>0</v>
      </c>
      <c r="E31" s="15">
        <f>E30-CDPS!E14</f>
        <v>0</v>
      </c>
      <c r="F31" s="15">
        <f>F30-CDPS!F14</f>
        <v>0</v>
      </c>
      <c r="G31" s="182">
        <f>G30-CDPS!G14</f>
        <v>0</v>
      </c>
    </row>
    <row r="33" spans="5:8">
      <c r="E33" s="15"/>
      <c r="F33" s="1006" t="s">
        <v>778</v>
      </c>
      <c r="G33" s="1006"/>
      <c r="H33" s="1006"/>
    </row>
    <row r="34" spans="5:8">
      <c r="F34" s="1006" t="s">
        <v>109</v>
      </c>
      <c r="G34" s="1006"/>
      <c r="H34" s="1006"/>
    </row>
    <row r="35" spans="5:8">
      <c r="E35" s="182"/>
      <c r="F35" s="1006" t="s">
        <v>136</v>
      </c>
      <c r="G35" s="1006"/>
      <c r="H35" s="1006"/>
    </row>
  </sheetData>
  <sortState ref="A6:I88">
    <sortCondition ref="B6:B88"/>
  </sortState>
  <mergeCells count="9">
    <mergeCell ref="F33:H33"/>
    <mergeCell ref="F34:H34"/>
    <mergeCell ref="F35:H35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3" t="str">
        <f>TH!A1</f>
        <v>Đơn vị: CÔNG TY TNHH SX TM KIM DUNG PHÁT</v>
      </c>
      <c r="B1" s="605"/>
      <c r="C1" s="605"/>
      <c r="G1" s="2"/>
      <c r="H1" s="1015" t="s">
        <v>46</v>
      </c>
      <c r="I1" s="1015"/>
      <c r="J1" s="1015"/>
    </row>
    <row r="2" spans="1:10" s="460" customFormat="1" ht="14.25" customHeight="1">
      <c r="A2" s="612" t="str">
        <f>TH!A2</f>
        <v>Địa chỉ: 1A227/1 Ấp 1, Phạm Văn Hai, Bình Chánh, TPHCM</v>
      </c>
      <c r="B2" s="605"/>
      <c r="C2" s="605"/>
      <c r="G2" s="17"/>
      <c r="H2" s="1016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</row>
    <row r="3" spans="1:10" s="460" customFormat="1" ht="14.25" customHeight="1">
      <c r="A3" s="607"/>
      <c r="B3" s="605"/>
      <c r="C3" s="605"/>
      <c r="G3" s="17"/>
      <c r="H3" s="1016"/>
      <c r="I3" s="1016"/>
      <c r="J3" s="1016"/>
    </row>
    <row r="4" spans="1:10" s="5" customFormat="1" ht="28.5" customHeight="1">
      <c r="A4" s="1017" t="s">
        <v>26</v>
      </c>
      <c r="B4" s="1017"/>
      <c r="C4" s="1017"/>
      <c r="D4" s="1017"/>
      <c r="E4" s="1017"/>
      <c r="F4" s="1017"/>
      <c r="G4" s="1017"/>
      <c r="H4" s="1017"/>
      <c r="I4" s="1017"/>
      <c r="J4" s="1017"/>
    </row>
    <row r="5" spans="1:10" s="18" customFormat="1" ht="14.25" customHeight="1">
      <c r="E5" s="603" t="s">
        <v>27</v>
      </c>
    </row>
    <row r="6" spans="1:10" s="18" customFormat="1" ht="14.25" customHeight="1">
      <c r="E6" s="603" t="s">
        <v>339</v>
      </c>
    </row>
    <row r="7" spans="1:10" s="18" customFormat="1" ht="14.25" customHeight="1">
      <c r="D7" s="20" t="s">
        <v>45</v>
      </c>
      <c r="E7" s="1018" t="s">
        <v>371</v>
      </c>
      <c r="F7" s="1018"/>
      <c r="G7" s="1018"/>
      <c r="H7" s="1018"/>
    </row>
    <row r="8" spans="1:10" s="18" customFormat="1" ht="14.25" customHeight="1">
      <c r="E8" s="603" t="s">
        <v>29</v>
      </c>
    </row>
    <row r="9" spans="1:10" s="18" customFormat="1" ht="6.75" customHeight="1">
      <c r="B9" s="603"/>
      <c r="C9" s="1019"/>
      <c r="D9" s="1019"/>
      <c r="E9" s="1019"/>
      <c r="F9" s="1019"/>
      <c r="G9" s="1019"/>
      <c r="H9" s="1019"/>
      <c r="I9" s="1019"/>
      <c r="J9" s="1019"/>
    </row>
    <row r="10" spans="1:10" s="18" customFormat="1" ht="14.25" customHeight="1">
      <c r="A10" s="983" t="s">
        <v>20</v>
      </c>
      <c r="B10" s="1014" t="s">
        <v>1</v>
      </c>
      <c r="C10" s="1014"/>
      <c r="D10" s="983" t="s">
        <v>0</v>
      </c>
      <c r="E10" s="983" t="s">
        <v>14</v>
      </c>
      <c r="F10" s="983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83"/>
      <c r="B11" s="30" t="s">
        <v>15</v>
      </c>
      <c r="C11" s="30" t="s">
        <v>32</v>
      </c>
      <c r="D11" s="983"/>
      <c r="E11" s="983"/>
      <c r="F11" s="98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9" t="s">
        <v>2</v>
      </c>
      <c r="B12" s="610" t="s">
        <v>3</v>
      </c>
      <c r="C12" s="609" t="s">
        <v>4</v>
      </c>
      <c r="D12" s="609" t="s">
        <v>5</v>
      </c>
      <c r="E12" s="609" t="s">
        <v>6</v>
      </c>
      <c r="F12" s="609">
        <v>1</v>
      </c>
      <c r="G12" s="609">
        <v>2</v>
      </c>
      <c r="H12" s="609">
        <v>3</v>
      </c>
      <c r="I12" s="609">
        <v>4</v>
      </c>
      <c r="J12" s="609">
        <v>5</v>
      </c>
    </row>
    <row r="13" spans="1:10" s="18" customFormat="1" ht="18" customHeight="1">
      <c r="A13" s="609"/>
      <c r="B13" s="609"/>
      <c r="C13" s="609"/>
      <c r="D13" s="23" t="s">
        <v>7</v>
      </c>
      <c r="E13" s="609"/>
      <c r="F13" s="24"/>
      <c r="G13" s="24"/>
      <c r="H13" s="24"/>
      <c r="I13" s="46" t="e">
        <f>VLOOKUP($E$7,'131'!$B$6:$H$29,2,0)</f>
        <v>#N/A</v>
      </c>
      <c r="J13" s="46" t="e">
        <f>VLOOKUP($E$7,'131'!$B$6:$H$29,3,0)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5" t="str">
        <f ca="1">IF(ROWS($1:1)&gt;COUNT(Dong14),"",OFFSET(TH!F$1,SMALL(Dong14,ROWS($1:1)),))</f>
        <v/>
      </c>
      <c r="E14" s="45" t="str">
        <f ca="1">IF(ROWS($1:1)&gt;COUNT(Dong14),"",IF(OFFSET(TH!L$1,SMALL(Dong14,ROWS($1:1)),)="331",OFFSET(TH!M$1,SMALL(Dong14,ROWS($1:1)),),OFFSET(TH!L$1,SMALL(Dong14,ROWS($1:1)),)))</f>
        <v/>
      </c>
      <c r="F14" s="45"/>
      <c r="G14" s="57" t="str">
        <f ca="1">IF(ROWS($1:1)&gt;COUNT(Dong14),"",IF(OFFSET(TH!L$1,SMALL(Dong14,ROWS($1:1)),)="131",OFFSET(TH!K$1,SMALL(Dong14,ROWS($1:1)),),0))</f>
        <v/>
      </c>
      <c r="H14" s="57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5" t="str">
        <f ca="1">IF(ROWS($1:2)&gt;COUNT(Dong14),"",OFFSET(TH!F$1,SMALL(Dong14,ROWS($1:2)),))</f>
        <v/>
      </c>
      <c r="E15" s="45" t="str">
        <f ca="1">IF(ROWS($1:2)&gt;COUNT(Dong14),"",IF(OFFSET(TH!L$1,SMALL(Dong14,ROWS($1:2)),)="331",OFFSET(TH!M$1,SMALL(Dong14,ROWS($1:2)),),OFFSET(TH!L$1,SMALL(Dong14,ROWS($1:2)),)))</f>
        <v/>
      </c>
      <c r="F15" s="45"/>
      <c r="G15" s="57" t="str">
        <f ca="1">IF(ROWS($1:2)&gt;COUNT(Dong14),"",IF(OFFSET(TH!L$1,SMALL(Dong14,ROWS($1:2)),)="131",OFFSET(TH!K$1,SMALL(Dong14,ROWS($1:2)),),0))</f>
        <v/>
      </c>
      <c r="H15" s="57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5" t="str">
        <f ca="1">IF(ROWS($1:3)&gt;COUNT(Dong14),"",OFFSET(TH!F$1,SMALL(Dong14,ROWS($1:3)),))</f>
        <v/>
      </c>
      <c r="E16" s="45" t="str">
        <f ca="1">IF(ROWS($1:3)&gt;COUNT(Dong14),"",IF(OFFSET(TH!L$1,SMALL(Dong14,ROWS($1:3)),)="331",OFFSET(TH!M$1,SMALL(Dong14,ROWS($1:3)),),OFFSET(TH!L$1,SMALL(Dong14,ROWS($1:3)),)))</f>
        <v/>
      </c>
      <c r="F16" s="45"/>
      <c r="G16" s="57" t="str">
        <f ca="1">IF(ROWS($1:3)&gt;COUNT(Dong14),"",IF(OFFSET(TH!L$1,SMALL(Dong14,ROWS($1:3)),)="131",OFFSET(TH!K$1,SMALL(Dong14,ROWS($1:3)),),0))</f>
        <v/>
      </c>
      <c r="H16" s="57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5" t="str">
        <f ca="1">IF(ROWS($1:4)&gt;COUNT(Dong14),"",OFFSET(TH!F$1,SMALL(Dong14,ROWS($1:4)),))</f>
        <v/>
      </c>
      <c r="E17" s="45" t="str">
        <f ca="1">IF(ROWS($1:4)&gt;COUNT(Dong14),"",IF(OFFSET(TH!L$1,SMALL(Dong14,ROWS($1:4)),)="331",OFFSET(TH!M$1,SMALL(Dong14,ROWS($1:4)),),OFFSET(TH!L$1,SMALL(Dong14,ROWS($1:4)),)))</f>
        <v/>
      </c>
      <c r="F17" s="45"/>
      <c r="G17" s="57" t="str">
        <f ca="1">IF(ROWS($1:4)&gt;COUNT(Dong14),"",IF(OFFSET(TH!L$1,SMALL(Dong14,ROWS($1:4)),)="131",OFFSET(TH!K$1,SMALL(Dong14,ROWS($1:4)),),0))</f>
        <v/>
      </c>
      <c r="H17" s="57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5" t="str">
        <f ca="1">IF(ROWS($1:5)&gt;COUNT(Dong14),"",OFFSET(TH!F$1,SMALL(Dong14,ROWS($1:5)),))</f>
        <v/>
      </c>
      <c r="E18" s="45" t="str">
        <f ca="1">IF(ROWS($1:5)&gt;COUNT(Dong14),"",IF(OFFSET(TH!L$1,SMALL(Dong14,ROWS($1:5)),)="331",OFFSET(TH!M$1,SMALL(Dong14,ROWS($1:5)),),OFFSET(TH!L$1,SMALL(Dong14,ROWS($1:5)),)))</f>
        <v/>
      </c>
      <c r="F18" s="45"/>
      <c r="G18" s="57" t="str">
        <f ca="1">IF(ROWS($1:5)&gt;COUNT(Dong14),"",IF(OFFSET(TH!L$1,SMALL(Dong14,ROWS($1:5)),)="131",OFFSET(TH!K$1,SMALL(Dong14,ROWS($1:5)),),0))</f>
        <v/>
      </c>
      <c r="H18" s="57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5" t="str">
        <f ca="1">IF(ROWS($1:6)&gt;COUNT(Dong14),"",OFFSET(TH!F$1,SMALL(Dong14,ROWS($1:6)),))</f>
        <v/>
      </c>
      <c r="E19" s="45" t="str">
        <f ca="1">IF(ROWS($1:6)&gt;COUNT(Dong14),"",IF(OFFSET(TH!L$1,SMALL(Dong14,ROWS($1:6)),)="331",OFFSET(TH!M$1,SMALL(Dong14,ROWS($1:6)),),OFFSET(TH!L$1,SMALL(Dong14,ROWS($1:6)),)))</f>
        <v/>
      </c>
      <c r="F19" s="45"/>
      <c r="G19" s="57" t="str">
        <f ca="1">IF(ROWS($1:6)&gt;COUNT(Dong14),"",IF(OFFSET(TH!L$1,SMALL(Dong14,ROWS($1:6)),)="131",OFFSET(TH!K$1,SMALL(Dong14,ROWS($1:6)),),0))</f>
        <v/>
      </c>
      <c r="H19" s="57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5" t="str">
        <f ca="1">IF(ROWS($1:7)&gt;COUNT(Dong14),"",OFFSET(TH!F$1,SMALL(Dong14,ROWS($1:7)),))</f>
        <v/>
      </c>
      <c r="E20" s="45" t="str">
        <f ca="1">IF(ROWS($1:7)&gt;COUNT(Dong14),"",IF(OFFSET(TH!L$1,SMALL(Dong14,ROWS($1:7)),)="331",OFFSET(TH!M$1,SMALL(Dong14,ROWS($1:7)),),OFFSET(TH!L$1,SMALL(Dong14,ROWS($1:7)),)))</f>
        <v/>
      </c>
      <c r="F20" s="45"/>
      <c r="G20" s="57" t="str">
        <f ca="1">IF(ROWS($1:7)&gt;COUNT(Dong14),"",IF(OFFSET(TH!L$1,SMALL(Dong14,ROWS($1:7)),)="131",OFFSET(TH!K$1,SMALL(Dong14,ROWS($1:7)),),0))</f>
        <v/>
      </c>
      <c r="H20" s="57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5" t="str">
        <f ca="1">IF(ROWS($1:8)&gt;COUNT(Dong14),"",OFFSET(TH!F$1,SMALL(Dong14,ROWS($1:8)),))</f>
        <v/>
      </c>
      <c r="E21" s="45" t="str">
        <f ca="1">IF(ROWS($1:8)&gt;COUNT(Dong14),"",IF(OFFSET(TH!L$1,SMALL(Dong14,ROWS($1:8)),)="331",OFFSET(TH!M$1,SMALL(Dong14,ROWS($1:8)),),OFFSET(TH!L$1,SMALL(Dong14,ROWS($1:8)),)))</f>
        <v/>
      </c>
      <c r="F21" s="45"/>
      <c r="G21" s="57" t="str">
        <f ca="1">IF(ROWS($1:8)&gt;COUNT(Dong14),"",IF(OFFSET(TH!L$1,SMALL(Dong14,ROWS($1:8)),)="131",OFFSET(TH!K$1,SMALL(Dong14,ROWS($1:8)),),0))</f>
        <v/>
      </c>
      <c r="H21" s="57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5" t="str">
        <f ca="1">IF(ROWS($1:9)&gt;COUNT(Dong14),"",OFFSET(TH!F$1,SMALL(Dong14,ROWS($1:9)),))</f>
        <v/>
      </c>
      <c r="E22" s="45" t="str">
        <f ca="1">IF(ROWS($1:9)&gt;COUNT(Dong14),"",IF(OFFSET(TH!L$1,SMALL(Dong14,ROWS($1:9)),)="331",OFFSET(TH!M$1,SMALL(Dong14,ROWS($1:9)),),OFFSET(TH!L$1,SMALL(Dong14,ROWS($1:9)),)))</f>
        <v/>
      </c>
      <c r="F22" s="45"/>
      <c r="G22" s="57" t="str">
        <f ca="1">IF(ROWS($1:9)&gt;COUNT(Dong14),"",IF(OFFSET(TH!L$1,SMALL(Dong14,ROWS($1:9)),)="131",OFFSET(TH!K$1,SMALL(Dong14,ROWS($1:9)),),0))</f>
        <v/>
      </c>
      <c r="H22" s="57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5" t="str">
        <f ca="1">IF(ROWS($1:10)&gt;COUNT(Dong14),"",OFFSET(TH!F$1,SMALL(Dong14,ROWS($1:10)),))</f>
        <v/>
      </c>
      <c r="E23" s="45" t="str">
        <f ca="1">IF(ROWS($1:10)&gt;COUNT(Dong14),"",IF(OFFSET(TH!L$1,SMALL(Dong14,ROWS($1:10)),)="331",OFFSET(TH!M$1,SMALL(Dong14,ROWS($1:10)),),OFFSET(TH!L$1,SMALL(Dong14,ROWS($1:10)),)))</f>
        <v/>
      </c>
      <c r="F23" s="45"/>
      <c r="G23" s="57" t="str">
        <f ca="1">IF(ROWS($1:10)&gt;COUNT(Dong14),"",IF(OFFSET(TH!L$1,SMALL(Dong14,ROWS($1:10)),)="131",OFFSET(TH!K$1,SMALL(Dong14,ROWS($1:10)),),0))</f>
        <v/>
      </c>
      <c r="H23" s="57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5" t="str">
        <f ca="1">IF(ROWS($1:11)&gt;COUNT(Dong14),"",OFFSET(TH!F$1,SMALL(Dong14,ROWS($1:11)),))</f>
        <v/>
      </c>
      <c r="E24" s="45" t="str">
        <f ca="1">IF(ROWS($1:11)&gt;COUNT(Dong14),"",IF(OFFSET(TH!L$1,SMALL(Dong14,ROWS($1:11)),)="331",OFFSET(TH!M$1,SMALL(Dong14,ROWS($1:11)),),OFFSET(TH!L$1,SMALL(Dong14,ROWS($1:11)),)))</f>
        <v/>
      </c>
      <c r="F24" s="45"/>
      <c r="G24" s="57" t="str">
        <f ca="1">IF(ROWS($1:11)&gt;COUNT(Dong14),"",IF(OFFSET(TH!L$1,SMALL(Dong14,ROWS($1:11)),)="131",OFFSET(TH!K$1,SMALL(Dong14,ROWS($1:11)),),0))</f>
        <v/>
      </c>
      <c r="H24" s="57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5" t="str">
        <f ca="1">IF(ROWS($1:12)&gt;COUNT(Dong14),"",OFFSET(TH!F$1,SMALL(Dong14,ROWS($1:12)),))</f>
        <v/>
      </c>
      <c r="E25" s="45" t="str">
        <f ca="1">IF(ROWS($1:12)&gt;COUNT(Dong14),"",IF(OFFSET(TH!L$1,SMALL(Dong14,ROWS($1:12)),)="331",OFFSET(TH!M$1,SMALL(Dong14,ROWS($1:12)),),OFFSET(TH!L$1,SMALL(Dong14,ROWS($1:12)),)))</f>
        <v/>
      </c>
      <c r="F25" s="45"/>
      <c r="G25" s="57" t="str">
        <f ca="1">IF(ROWS($1:12)&gt;COUNT(Dong14),"",IF(OFFSET(TH!L$1,SMALL(Dong14,ROWS($1:12)),)="131",OFFSET(TH!K$1,SMALL(Dong14,ROWS($1:12)),),0))</f>
        <v/>
      </c>
      <c r="H25" s="57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5" t="str">
        <f ca="1">IF(ROWS($1:13)&gt;COUNT(Dong14),"",OFFSET(TH!F$1,SMALL(Dong14,ROWS($1:13)),))</f>
        <v/>
      </c>
      <c r="E26" s="45" t="str">
        <f ca="1">IF(ROWS($1:13)&gt;COUNT(Dong14),"",IF(OFFSET(TH!L$1,SMALL(Dong14,ROWS($1:13)),)="331",OFFSET(TH!M$1,SMALL(Dong14,ROWS($1:13)),),OFFSET(TH!L$1,SMALL(Dong14,ROWS($1:13)),)))</f>
        <v/>
      </c>
      <c r="F26" s="45"/>
      <c r="G26" s="57" t="str">
        <f ca="1">IF(ROWS($1:13)&gt;COUNT(Dong14),"",IF(OFFSET(TH!L$1,SMALL(Dong14,ROWS($1:13)),)="131",OFFSET(TH!K$1,SMALL(Dong14,ROWS($1:13)),),0))</f>
        <v/>
      </c>
      <c r="H26" s="57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5" t="str">
        <f ca="1">IF(ROWS($1:14)&gt;COUNT(Dong14),"",OFFSET(TH!F$1,SMALL(Dong14,ROWS($1:14)),))</f>
        <v/>
      </c>
      <c r="E27" s="45" t="str">
        <f ca="1">IF(ROWS($1:14)&gt;COUNT(Dong14),"",IF(OFFSET(TH!L$1,SMALL(Dong14,ROWS($1:14)),)="331",OFFSET(TH!M$1,SMALL(Dong14,ROWS($1:14)),),OFFSET(TH!L$1,SMALL(Dong14,ROWS($1:14)),)))</f>
        <v/>
      </c>
      <c r="F27" s="45"/>
      <c r="G27" s="57" t="str">
        <f ca="1">IF(ROWS($1:14)&gt;COUNT(Dong14),"",IF(OFFSET(TH!L$1,SMALL(Dong14,ROWS($1:14)),)="131",OFFSET(TH!K$1,SMALL(Dong14,ROWS($1:14)),),0))</f>
        <v/>
      </c>
      <c r="H27" s="57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5" t="str">
        <f ca="1">IF(ROWS($1:15)&gt;COUNT(Dong14),"",OFFSET(TH!F$1,SMALL(Dong14,ROWS($1:15)),))</f>
        <v/>
      </c>
      <c r="E28" s="45" t="str">
        <f ca="1">IF(ROWS($1:15)&gt;COUNT(Dong14),"",IF(OFFSET(TH!L$1,SMALL(Dong14,ROWS($1:15)),)="331",OFFSET(TH!M$1,SMALL(Dong14,ROWS($1:15)),),OFFSET(TH!L$1,SMALL(Dong14,ROWS($1:15)),)))</f>
        <v/>
      </c>
      <c r="F28" s="45"/>
      <c r="G28" s="57" t="str">
        <f ca="1">IF(ROWS($1:15)&gt;COUNT(Dong14),"",IF(OFFSET(TH!L$1,SMALL(Dong14,ROWS($1:15)),)="131",OFFSET(TH!K$1,SMALL(Dong14,ROWS($1:15)),),0))</f>
        <v/>
      </c>
      <c r="H28" s="57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9"/>
      <c r="C32" s="26"/>
      <c r="D32" s="23" t="s">
        <v>33</v>
      </c>
      <c r="E32" s="609" t="s">
        <v>19</v>
      </c>
      <c r="F32" s="609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9"/>
      <c r="C33" s="609"/>
      <c r="D33" s="23" t="s">
        <v>10</v>
      </c>
      <c r="E33" s="609" t="s">
        <v>19</v>
      </c>
      <c r="F33" s="609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603"/>
      <c r="C34" s="603"/>
      <c r="E34" s="603"/>
    </row>
    <row r="35" spans="1:11" s="18" customFormat="1" ht="14.25" customHeight="1">
      <c r="A35" s="28" t="s">
        <v>152</v>
      </c>
      <c r="B35" s="603"/>
      <c r="C35" s="603"/>
      <c r="E35" s="603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603"/>
      <c r="C36" s="603"/>
      <c r="E36" s="603"/>
      <c r="K36" s="28" t="s">
        <v>34</v>
      </c>
    </row>
    <row r="37" spans="1:11" s="18" customFormat="1" ht="14.25" customHeight="1">
      <c r="B37" s="603"/>
      <c r="C37" s="603"/>
      <c r="E37" s="972" t="e">
        <f ca="1">"Ngày 31 tháng  12  năm  "&amp;YEAR($A$14)</f>
        <v>#VALUE!</v>
      </c>
      <c r="F37" s="972"/>
      <c r="G37" s="972"/>
      <c r="H37" s="972"/>
      <c r="I37" s="972"/>
      <c r="J37" s="972"/>
    </row>
    <row r="38" spans="1:11" s="18" customFormat="1" ht="14.25" customHeight="1">
      <c r="C38" s="603" t="s">
        <v>11</v>
      </c>
      <c r="E38" s="972" t="s">
        <v>12</v>
      </c>
      <c r="F38" s="972"/>
      <c r="G38" s="972"/>
      <c r="H38" s="972"/>
      <c r="I38" s="972"/>
      <c r="J38" s="972"/>
    </row>
    <row r="39" spans="1:11" s="18" customFormat="1" ht="14.25" customHeight="1">
      <c r="C39" s="603" t="s">
        <v>13</v>
      </c>
      <c r="E39" s="972" t="s">
        <v>13</v>
      </c>
      <c r="F39" s="972"/>
      <c r="G39" s="972"/>
      <c r="H39" s="972"/>
      <c r="I39" s="972"/>
      <c r="J39" s="972"/>
    </row>
    <row r="40" spans="1:11" s="29" customFormat="1"/>
    <row r="46" spans="1:11" ht="15">
      <c r="C46" s="604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workbookViewId="0">
      <pane ySplit="5" topLeftCell="A6" activePane="bottomLeft" state="frozen"/>
      <selection pane="bottomLeft" activeCell="B21" sqref="B21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20" t="str">
        <f>TH!$A$1</f>
        <v>Đơn vị: CÔNG TY TNHH SX TM KIM DUNG PHÁT</v>
      </c>
    </row>
    <row r="2" spans="1:9">
      <c r="A2" s="821" t="str">
        <f>TH!$A$2</f>
        <v>Địa chỉ: 1A227/1 Ấp 1, Phạm Văn Hai, Bình Chánh, TPHCM</v>
      </c>
    </row>
    <row r="3" spans="1:9" ht="27" customHeight="1">
      <c r="A3" s="1007" t="s">
        <v>102</v>
      </c>
      <c r="B3" s="1007"/>
      <c r="C3" s="1007"/>
      <c r="D3" s="1007"/>
      <c r="E3" s="1007"/>
      <c r="F3" s="1007"/>
      <c r="G3" s="1007"/>
      <c r="H3" s="1007"/>
    </row>
    <row r="4" spans="1:9" s="10" customFormat="1" ht="14.25" customHeight="1">
      <c r="A4" s="1008" t="s">
        <v>35</v>
      </c>
      <c r="B4" s="1010" t="s">
        <v>36</v>
      </c>
      <c r="C4" s="1012" t="s">
        <v>37</v>
      </c>
      <c r="D4" s="1013"/>
      <c r="E4" s="1012" t="s">
        <v>38</v>
      </c>
      <c r="F4" s="1013"/>
      <c r="G4" s="1012" t="s">
        <v>41</v>
      </c>
      <c r="H4" s="1013"/>
    </row>
    <row r="5" spans="1:9" s="10" customFormat="1" ht="14.25" customHeight="1">
      <c r="A5" s="1009"/>
      <c r="B5" s="1011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483</v>
      </c>
      <c r="C6" s="8"/>
      <c r="D6" s="8"/>
      <c r="E6" s="8">
        <f t="array" ref="E6">SUM(IF("331"&amp;B6=KHN&amp;KH,TH))</f>
        <v>71000000</v>
      </c>
      <c r="F6" s="8">
        <f t="array" ref="F6">SUM(IF("331"&amp;B6=KHC&amp;KH,TH))</f>
        <v>84876000</v>
      </c>
      <c r="G6" s="54">
        <f t="shared" ref="G6:G9" si="0">ROUND(MAX(C6+E6-D6-F6,0),2)</f>
        <v>0</v>
      </c>
      <c r="H6" s="54">
        <f t="shared" ref="H6:H9" si="1">ROUND(MAX(D6+F6-C6-E6,0),2)</f>
        <v>13876000</v>
      </c>
      <c r="I6" s="10" t="str">
        <f>IF(ISNA(VLOOKUP(B6,[3]!DSKH,1,0)),"","x")</f>
        <v/>
      </c>
    </row>
    <row r="7" spans="1:9" s="10" customFormat="1" ht="16.5" customHeight="1">
      <c r="A7" s="6">
        <f t="shared" ref="A7:A9" si="2">IF(B7&lt;&gt;"",ROW()-5,"")</f>
        <v>2</v>
      </c>
      <c r="B7" s="7" t="s">
        <v>484</v>
      </c>
      <c r="C7" s="8"/>
      <c r="D7" s="8"/>
      <c r="E7" s="8">
        <f t="array" ref="E7">SUM(IF("331"&amp;B7=KHN&amp;KH,TH))</f>
        <v>246000000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428384700</v>
      </c>
      <c r="I7" s="10" t="str">
        <f>IF(ISNA(VLOOKUP(B7,[3]!DSKH,1,0)),"","x")</f>
        <v/>
      </c>
    </row>
    <row r="8" spans="1:9" s="10" customFormat="1" ht="16.5" customHeight="1">
      <c r="A8" s="6">
        <f t="shared" si="2"/>
        <v>3</v>
      </c>
      <c r="B8" s="192" t="s">
        <v>529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40300260</v>
      </c>
      <c r="G8" s="54">
        <f t="shared" si="0"/>
        <v>0</v>
      </c>
      <c r="H8" s="54">
        <f t="shared" si="1"/>
        <v>0</v>
      </c>
      <c r="I8" s="10" t="str">
        <f>IF(ISNA(VLOOKUP(B8,[3]!DSKH,1,0)),"","x")</f>
        <v/>
      </c>
    </row>
    <row r="9" spans="1:9" s="10" customFormat="1" ht="16.5" customHeight="1">
      <c r="A9" s="6">
        <f t="shared" si="2"/>
        <v>4</v>
      </c>
      <c r="B9" s="192" t="s">
        <v>777</v>
      </c>
      <c r="C9" s="8"/>
      <c r="D9" s="8"/>
      <c r="E9" s="8">
        <f t="array" ref="E9">SUM(IF("331"&amp;B9=KHN&amp;KH,TH))</f>
        <v>122100000</v>
      </c>
      <c r="F9" s="8">
        <f t="array" ref="F9">SUM(IF("331"&amp;B9=KHC&amp;KH,TH))</f>
        <v>100221550</v>
      </c>
      <c r="G9" s="54">
        <f t="shared" si="0"/>
        <v>21878450</v>
      </c>
      <c r="H9" s="54">
        <f t="shared" si="1"/>
        <v>0</v>
      </c>
      <c r="I9" s="10" t="str">
        <f>IF(ISNA(VLOOKUP(B9,[3]!DSKH,1,0)),"","x")</f>
        <v/>
      </c>
    </row>
    <row r="10" spans="1:9" s="10" customFormat="1" ht="16.5" customHeight="1">
      <c r="A10" s="6" t="str">
        <f>IF(B10&lt;&gt;"",ROW()-3,"")</f>
        <v/>
      </c>
      <c r="B10" s="43"/>
      <c r="C10" s="8"/>
      <c r="D10" s="8"/>
      <c r="E10" s="476"/>
      <c r="F10" s="476"/>
      <c r="G10" s="477"/>
      <c r="H10" s="477"/>
      <c r="I10" s="10" t="str">
        <f>IF(ISNA(VLOOKUP(B10,[3]!DSKH,1,0)),"","x")</f>
        <v/>
      </c>
    </row>
    <row r="11" spans="1:9" s="14" customFormat="1" ht="14.25" customHeight="1">
      <c r="A11" s="11"/>
      <c r="B11" s="12" t="s">
        <v>39</v>
      </c>
      <c r="C11" s="13">
        <f t="shared" ref="C11:H11" si="3">SUM(C6:C10)</f>
        <v>0</v>
      </c>
      <c r="D11" s="13">
        <f t="shared" si="3"/>
        <v>0</v>
      </c>
      <c r="E11" s="13">
        <f t="shared" si="3"/>
        <v>479400260</v>
      </c>
      <c r="F11" s="13">
        <f t="shared" si="3"/>
        <v>899782510</v>
      </c>
      <c r="G11" s="13">
        <f t="shared" si="3"/>
        <v>21878450</v>
      </c>
      <c r="H11" s="13">
        <f t="shared" si="3"/>
        <v>442260700</v>
      </c>
    </row>
    <row r="12" spans="1:9">
      <c r="C12" s="182"/>
      <c r="D12" s="182">
        <f>D11-C11-CDPS!D28</f>
        <v>0</v>
      </c>
      <c r="E12" s="182">
        <f>E11-CDPS!E28</f>
        <v>0</v>
      </c>
      <c r="F12" s="182">
        <f>F11-CDPS!F28</f>
        <v>0</v>
      </c>
      <c r="H12" s="182">
        <f>H11-G11-CDPS!H28</f>
        <v>0</v>
      </c>
    </row>
    <row r="13" spans="1:9">
      <c r="E13" s="15"/>
      <c r="F13" s="1006" t="s">
        <v>778</v>
      </c>
      <c r="G13" s="1006"/>
      <c r="H13" s="1006"/>
    </row>
    <row r="14" spans="1:9">
      <c r="F14" s="1006" t="s">
        <v>109</v>
      </c>
      <c r="G14" s="1006"/>
      <c r="H14" s="1006"/>
    </row>
    <row r="15" spans="1:9">
      <c r="E15" s="182"/>
      <c r="F15" s="1006" t="s">
        <v>136</v>
      </c>
      <c r="G15" s="1006"/>
      <c r="H15" s="1006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40" activePane="bottomLeft" state="frozen"/>
      <selection activeCell="A6" sqref="A6"/>
      <selection pane="bottomLeft" activeCell="D56" sqref="D5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3" t="str">
        <f>TH!A1</f>
        <v>Đơn vị: CÔNG TY TNHH SX TM KIM DUNG PHÁT</v>
      </c>
      <c r="B1" s="16"/>
      <c r="C1" s="16"/>
      <c r="G1" s="2"/>
      <c r="H1" s="1015" t="s">
        <v>46</v>
      </c>
      <c r="I1" s="1015"/>
      <c r="J1" s="1015"/>
    </row>
    <row r="2" spans="1:10" s="3" customFormat="1" ht="14.25" customHeight="1">
      <c r="A2" s="612" t="str">
        <f>TH!A2</f>
        <v>Địa chỉ: 1A227/1 Ấp 1, Phạm Văn Hai, Bình Chánh, TPHCM</v>
      </c>
      <c r="B2" s="16"/>
      <c r="C2" s="16"/>
      <c r="G2" s="17"/>
      <c r="H2" s="1016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</row>
    <row r="3" spans="1:10" s="3" customFormat="1" ht="14.25" customHeight="1">
      <c r="A3" s="4"/>
      <c r="B3" s="16"/>
      <c r="C3" s="16"/>
      <c r="G3" s="17"/>
      <c r="H3" s="1016"/>
      <c r="I3" s="1016"/>
      <c r="J3" s="1016"/>
    </row>
    <row r="4" spans="1:10" s="5" customFormat="1" ht="28.5" customHeight="1">
      <c r="A4" s="1017" t="s">
        <v>26</v>
      </c>
      <c r="B4" s="1017"/>
      <c r="C4" s="1017"/>
      <c r="D4" s="1017"/>
      <c r="E4" s="1017"/>
      <c r="F4" s="1017"/>
      <c r="G4" s="1017"/>
      <c r="H4" s="1017"/>
      <c r="I4" s="1017"/>
      <c r="J4" s="1017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8" t="s">
        <v>360</v>
      </c>
      <c r="F7" s="1018"/>
      <c r="G7" s="1018"/>
      <c r="H7" s="1018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9"/>
      <c r="D9" s="1019"/>
      <c r="E9" s="1019"/>
      <c r="F9" s="1019"/>
      <c r="G9" s="1019"/>
      <c r="H9" s="1019"/>
      <c r="I9" s="1019"/>
      <c r="J9" s="1019"/>
    </row>
    <row r="10" spans="1:10" s="18" customFormat="1" ht="14.25" customHeight="1">
      <c r="A10" s="983" t="s">
        <v>20</v>
      </c>
      <c r="B10" s="1014" t="s">
        <v>1</v>
      </c>
      <c r="C10" s="1014"/>
      <c r="D10" s="983" t="s">
        <v>0</v>
      </c>
      <c r="E10" s="983" t="s">
        <v>14</v>
      </c>
      <c r="F10" s="983" t="s">
        <v>30</v>
      </c>
      <c r="G10" s="1020" t="s">
        <v>21</v>
      </c>
      <c r="H10" s="1021"/>
      <c r="I10" s="1020" t="s">
        <v>31</v>
      </c>
      <c r="J10" s="1021"/>
    </row>
    <row r="11" spans="1:10" s="18" customFormat="1" ht="24.75" customHeight="1">
      <c r="A11" s="983"/>
      <c r="B11" s="30" t="s">
        <v>15</v>
      </c>
      <c r="C11" s="30" t="s">
        <v>32</v>
      </c>
      <c r="D11" s="983"/>
      <c r="E11" s="983"/>
      <c r="F11" s="98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 t="e">
        <f>VLOOKUP($E$7,'331'!$B$6:$H$10,2,0)</f>
        <v>#N/A</v>
      </c>
      <c r="J13" s="46" t="e">
        <f>VLOOKUP($E$7,'331'!$B$6:$H$10,3,0)</f>
        <v>#N/A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5" t="str">
        <f ca="1">IF(ROWS($1:1)&gt;COUNT(Dong),"",OFFSET(TH!F$1,SMALL(Dong,ROWS($1:1)),))</f>
        <v/>
      </c>
      <c r="E14" s="45" t="str">
        <f ca="1">IF(ROWS($1:1)&gt;COUNT(Dong),"",IF(OFFSET(TH!L$1,SMALL(Dong,ROWS($1:1)),)="331",OFFSET(TH!M$1,SMALL(Dong,ROWS($1:1)),),OFFSET(TH!L$1,SMALL(Dong,ROWS($1:1)),)))</f>
        <v/>
      </c>
      <c r="F14" s="45"/>
      <c r="G14" s="57" t="str">
        <f ca="1">IF(ROWS($1:1)&gt;COUNT(Dong),"",IF(OFFSET(TH!L$1,SMALL(Dong,ROWS($1:1)),)="331",OFFSET(TH!K$1,SMALL(Dong,ROWS($1:1)),),0))</f>
        <v/>
      </c>
      <c r="H14" s="57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5" t="str">
        <f ca="1">IF(ROWS($1:2)&gt;COUNT(Dong),"",OFFSET(TH!F$1,SMALL(Dong,ROWS($1:2)),))</f>
        <v/>
      </c>
      <c r="E15" s="45" t="str">
        <f ca="1">IF(ROWS($1:2)&gt;COUNT(Dong),"",IF(OFFSET(TH!L$1,SMALL(Dong,ROWS($1:2)),)="331",OFFSET(TH!M$1,SMALL(Dong,ROWS($1:2)),),OFFSET(TH!L$1,SMALL(Dong,ROWS($1:2)),)))</f>
        <v/>
      </c>
      <c r="F15" s="45"/>
      <c r="G15" s="57" t="str">
        <f ca="1">IF(ROWS($1:2)&gt;COUNT(Dong),"",IF(OFFSET(TH!L$1,SMALL(Dong,ROWS($1:2)),)="331",OFFSET(TH!K$1,SMALL(Dong,ROWS($1:2)),),0))</f>
        <v/>
      </c>
      <c r="H15" s="57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5" t="str">
        <f ca="1">IF(ROWS($1:3)&gt;COUNT(Dong),"",OFFSET(TH!F$1,SMALL(Dong,ROWS($1:3)),))</f>
        <v/>
      </c>
      <c r="E16" s="45" t="str">
        <f ca="1">IF(ROWS($1:3)&gt;COUNT(Dong),"",IF(OFFSET(TH!L$1,SMALL(Dong,ROWS($1:3)),)="331",OFFSET(TH!M$1,SMALL(Dong,ROWS($1:3)),),OFFSET(TH!L$1,SMALL(Dong,ROWS($1:3)),)))</f>
        <v/>
      </c>
      <c r="F16" s="45"/>
      <c r="G16" s="57" t="str">
        <f ca="1">IF(ROWS($1:3)&gt;COUNT(Dong),"",IF(OFFSET(TH!L$1,SMALL(Dong,ROWS($1:3)),)="331",OFFSET(TH!K$1,SMALL(Dong,ROWS($1:3)),),0))</f>
        <v/>
      </c>
      <c r="H16" s="57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5" t="str">
        <f ca="1">IF(ROWS($1:4)&gt;COUNT(Dong),"",OFFSET(TH!F$1,SMALL(Dong,ROWS($1:4)),))</f>
        <v/>
      </c>
      <c r="E17" s="45" t="str">
        <f ca="1">IF(ROWS($1:4)&gt;COUNT(Dong),"",IF(OFFSET(TH!L$1,SMALL(Dong,ROWS($1:4)),)="331",OFFSET(TH!M$1,SMALL(Dong,ROWS($1:4)),),OFFSET(TH!L$1,SMALL(Dong,ROWS($1:4)),)))</f>
        <v/>
      </c>
      <c r="F17" s="45"/>
      <c r="G17" s="57" t="str">
        <f ca="1">IF(ROWS($1:4)&gt;COUNT(Dong),"",IF(OFFSET(TH!L$1,SMALL(Dong,ROWS($1:4)),)="331",OFFSET(TH!K$1,SMALL(Dong,ROWS($1:4)),),0))</f>
        <v/>
      </c>
      <c r="H17" s="57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5" t="str">
        <f ca="1">IF(ROWS($1:5)&gt;COUNT(Dong),"",OFFSET(TH!F$1,SMALL(Dong,ROWS($1:5)),))</f>
        <v/>
      </c>
      <c r="E18" s="45" t="str">
        <f ca="1">IF(ROWS($1:5)&gt;COUNT(Dong),"",IF(OFFSET(TH!L$1,SMALL(Dong,ROWS($1:5)),)="331",OFFSET(TH!M$1,SMALL(Dong,ROWS($1:5)),),OFFSET(TH!L$1,SMALL(Dong,ROWS($1:5)),)))</f>
        <v/>
      </c>
      <c r="F18" s="45"/>
      <c r="G18" s="57" t="str">
        <f ca="1">IF(ROWS($1:5)&gt;COUNT(Dong),"",IF(OFFSET(TH!L$1,SMALL(Dong,ROWS($1:5)),)="331",OFFSET(TH!K$1,SMALL(Dong,ROWS($1:5)),),0))</f>
        <v/>
      </c>
      <c r="H18" s="57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5" t="str">
        <f ca="1">IF(ROWS($1:6)&gt;COUNT(Dong),"",OFFSET(TH!F$1,SMALL(Dong,ROWS($1:6)),))</f>
        <v/>
      </c>
      <c r="E19" s="45" t="str">
        <f ca="1">IF(ROWS($1:6)&gt;COUNT(Dong),"",IF(OFFSET(TH!L$1,SMALL(Dong,ROWS($1:6)),)="331",OFFSET(TH!M$1,SMALL(Dong,ROWS($1:6)),),OFFSET(TH!L$1,SMALL(Dong,ROWS($1:6)),)))</f>
        <v/>
      </c>
      <c r="F19" s="45"/>
      <c r="G19" s="57" t="str">
        <f ca="1">IF(ROWS($1:6)&gt;COUNT(Dong),"",IF(OFFSET(TH!L$1,SMALL(Dong,ROWS($1:6)),)="331",OFFSET(TH!K$1,SMALL(Dong,ROWS($1:6)),),0))</f>
        <v/>
      </c>
      <c r="H19" s="57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5" t="str">
        <f ca="1">IF(ROWS($1:7)&gt;COUNT(Dong),"",OFFSET(TH!F$1,SMALL(Dong,ROWS($1:7)),))</f>
        <v/>
      </c>
      <c r="E20" s="45" t="str">
        <f ca="1">IF(ROWS($1:7)&gt;COUNT(Dong),"",IF(OFFSET(TH!L$1,SMALL(Dong,ROWS($1:7)),)="331",OFFSET(TH!M$1,SMALL(Dong,ROWS($1:7)),),OFFSET(TH!L$1,SMALL(Dong,ROWS($1:7)),)))</f>
        <v/>
      </c>
      <c r="F20" s="45"/>
      <c r="G20" s="57" t="str">
        <f ca="1">IF(ROWS($1:7)&gt;COUNT(Dong),"",IF(OFFSET(TH!L$1,SMALL(Dong,ROWS($1:7)),)="331",OFFSET(TH!K$1,SMALL(Dong,ROWS($1:7)),),0))</f>
        <v/>
      </c>
      <c r="H20" s="57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5" t="str">
        <f ca="1">IF(ROWS($1:8)&gt;COUNT(Dong),"",OFFSET(TH!F$1,SMALL(Dong,ROWS($1:8)),))</f>
        <v/>
      </c>
      <c r="E21" s="45" t="str">
        <f ca="1">IF(ROWS($1:8)&gt;COUNT(Dong),"",IF(OFFSET(TH!L$1,SMALL(Dong,ROWS($1:8)),)="331",OFFSET(TH!M$1,SMALL(Dong,ROWS($1:8)),),OFFSET(TH!L$1,SMALL(Dong,ROWS($1:8)),)))</f>
        <v/>
      </c>
      <c r="F21" s="45"/>
      <c r="G21" s="57" t="str">
        <f ca="1">IF(ROWS($1:8)&gt;COUNT(Dong),"",IF(OFFSET(TH!L$1,SMALL(Dong,ROWS($1:8)),)="331",OFFSET(TH!K$1,SMALL(Dong,ROWS($1:8)),),0))</f>
        <v/>
      </c>
      <c r="H21" s="57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5" t="str">
        <f ca="1">IF(ROWS($1:9)&gt;COUNT(Dong),"",OFFSET(TH!F$1,SMALL(Dong,ROWS($1:9)),))</f>
        <v/>
      </c>
      <c r="E22" s="45" t="str">
        <f ca="1">IF(ROWS($1:9)&gt;COUNT(Dong),"",IF(OFFSET(TH!L$1,SMALL(Dong,ROWS($1:9)),)="331",OFFSET(TH!M$1,SMALL(Dong,ROWS($1:9)),),OFFSET(TH!L$1,SMALL(Dong,ROWS($1:9)),)))</f>
        <v/>
      </c>
      <c r="F22" s="45"/>
      <c r="G22" s="57" t="str">
        <f ca="1">IF(ROWS($1:9)&gt;COUNT(Dong),"",IF(OFFSET(TH!L$1,SMALL(Dong,ROWS($1:9)),)="331",OFFSET(TH!K$1,SMALL(Dong,ROWS($1:9)),),0))</f>
        <v/>
      </c>
      <c r="H22" s="57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5" t="str">
        <f ca="1">IF(ROWS($1:10)&gt;COUNT(Dong),"",OFFSET(TH!F$1,SMALL(Dong,ROWS($1:10)),))</f>
        <v/>
      </c>
      <c r="E23" s="45" t="str">
        <f ca="1">IF(ROWS($1:10)&gt;COUNT(Dong),"",IF(OFFSET(TH!L$1,SMALL(Dong,ROWS($1:10)),)="331",OFFSET(TH!M$1,SMALL(Dong,ROWS($1:10)),),OFFSET(TH!L$1,SMALL(Dong,ROWS($1:10)),)))</f>
        <v/>
      </c>
      <c r="F23" s="45"/>
      <c r="G23" s="57" t="str">
        <f ca="1">IF(ROWS($1:10)&gt;COUNT(Dong),"",IF(OFFSET(TH!L$1,SMALL(Dong,ROWS($1:10)),)="331",OFFSET(TH!K$1,SMALL(Dong,ROWS($1:10)),),0))</f>
        <v/>
      </c>
      <c r="H23" s="57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5" t="str">
        <f ca="1">IF(ROWS($1:11)&gt;COUNT(Dong),"",OFFSET(TH!F$1,SMALL(Dong,ROWS($1:11)),))</f>
        <v/>
      </c>
      <c r="E24" s="45" t="str">
        <f ca="1">IF(ROWS($1:11)&gt;COUNT(Dong),"",IF(OFFSET(TH!L$1,SMALL(Dong,ROWS($1:11)),)="331",OFFSET(TH!M$1,SMALL(Dong,ROWS($1:11)),),OFFSET(TH!L$1,SMALL(Dong,ROWS($1:11)),)))</f>
        <v/>
      </c>
      <c r="F24" s="45"/>
      <c r="G24" s="57" t="str">
        <f ca="1">IF(ROWS($1:11)&gt;COUNT(Dong),"",IF(OFFSET(TH!L$1,SMALL(Dong,ROWS($1:11)),)="331",OFFSET(TH!K$1,SMALL(Dong,ROWS($1:11)),),0))</f>
        <v/>
      </c>
      <c r="H24" s="57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5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5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5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5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5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5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5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5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5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5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 t="e">
        <f ca="1">MAX(I13+G51-H51-J13,0)</f>
        <v>#N/A</v>
      </c>
      <c r="J52" s="27" t="e">
        <f ca="1">MAX(J13+H51-G51-I13,0)</f>
        <v>#N/A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2" t="e">
        <f ca="1">"Ngày 31 tháng  12  năm  "&amp;YEAR($A$14)</f>
        <v>#VALUE!</v>
      </c>
      <c r="F56" s="972"/>
      <c r="G56" s="972"/>
      <c r="H56" s="972"/>
      <c r="I56" s="972"/>
      <c r="J56" s="972"/>
    </row>
    <row r="57" spans="1:11" s="18" customFormat="1" ht="14.25" customHeight="1">
      <c r="C57" s="213" t="s">
        <v>11</v>
      </c>
      <c r="E57" s="972" t="s">
        <v>12</v>
      </c>
      <c r="F57" s="972"/>
      <c r="G57" s="972"/>
      <c r="H57" s="972"/>
      <c r="I57" s="972"/>
      <c r="J57" s="972"/>
    </row>
    <row r="58" spans="1:11" s="18" customFormat="1" ht="14.25" customHeight="1">
      <c r="C58" s="213" t="s">
        <v>13</v>
      </c>
      <c r="E58" s="972" t="s">
        <v>13</v>
      </c>
      <c r="F58" s="972"/>
      <c r="G58" s="972"/>
      <c r="H58" s="972"/>
      <c r="I58" s="972"/>
      <c r="J58" s="972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07" t="s">
        <v>500</v>
      </c>
      <c r="B1" s="1007"/>
      <c r="C1" s="1007"/>
      <c r="D1" s="1007"/>
      <c r="E1" s="1007"/>
      <c r="F1" s="1007"/>
      <c r="G1" s="1007"/>
      <c r="H1" s="1007"/>
      <c r="I1" s="1007"/>
    </row>
    <row r="2" spans="1:9" s="10" customFormat="1" ht="15.75" customHeight="1">
      <c r="A2" s="1022" t="s">
        <v>35</v>
      </c>
      <c r="B2" s="1023" t="s">
        <v>461</v>
      </c>
      <c r="C2" s="1023" t="s">
        <v>462</v>
      </c>
      <c r="D2" s="1023" t="s">
        <v>37</v>
      </c>
      <c r="E2" s="1023"/>
      <c r="F2" s="1023" t="s">
        <v>38</v>
      </c>
      <c r="G2" s="1023"/>
      <c r="H2" s="1024" t="s">
        <v>351</v>
      </c>
      <c r="I2" s="1013"/>
    </row>
    <row r="3" spans="1:9" s="10" customFormat="1" ht="15.75" customHeight="1">
      <c r="A3" s="1022"/>
      <c r="B3" s="1023"/>
      <c r="C3" s="1023"/>
      <c r="D3" s="864" t="s">
        <v>42</v>
      </c>
      <c r="E3" s="864" t="s">
        <v>43</v>
      </c>
      <c r="F3" s="864" t="s">
        <v>42</v>
      </c>
      <c r="G3" s="864" t="s">
        <v>43</v>
      </c>
      <c r="H3" s="864" t="s">
        <v>42</v>
      </c>
      <c r="I3" s="864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6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5">
        <f t="shared" ref="H4:H10" si="1">ROUND(MAX(D4+F4-E4-G4,0),2)</f>
        <v>0</v>
      </c>
      <c r="I4" s="865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6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5">
        <f t="shared" si="1"/>
        <v>0</v>
      </c>
      <c r="I5" s="865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5">
        <f t="shared" si="1"/>
        <v>0</v>
      </c>
      <c r="I6" s="865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5">
        <f t="shared" si="1"/>
        <v>0</v>
      </c>
      <c r="I7" s="865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6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5">
        <f t="shared" si="1"/>
        <v>0</v>
      </c>
      <c r="I8" s="865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7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5">
        <f t="shared" si="1"/>
        <v>0</v>
      </c>
      <c r="I9" s="865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6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5">
        <f t="shared" si="1"/>
        <v>0</v>
      </c>
      <c r="I10" s="865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7"/>
      <c r="C11" s="868"/>
      <c r="D11" s="181"/>
      <c r="E11" s="181"/>
      <c r="F11" s="181"/>
      <c r="G11" s="181"/>
      <c r="H11" s="869"/>
      <c r="I11" s="869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90" customWidth="1"/>
    <col min="2" max="2" width="8.28515625" style="890" customWidth="1"/>
    <col min="3" max="3" width="9.28515625" style="890" customWidth="1"/>
    <col min="4" max="4" width="37.28515625" style="890" customWidth="1"/>
    <col min="5" max="5" width="10.140625" style="890" customWidth="1"/>
    <col min="6" max="9" width="15" style="890" customWidth="1"/>
    <col min="10" max="16384" width="9.140625" style="890"/>
  </cols>
  <sheetData>
    <row r="1" spans="1:9" s="871" customFormat="1" ht="16.5" customHeight="1">
      <c r="A1" s="613" t="str">
        <f>[4]TH!A1</f>
        <v>Đơn vị: CÔNG TY TNHH SX TM KIM DUNG PHÁT</v>
      </c>
      <c r="B1" s="870"/>
      <c r="C1" s="870"/>
      <c r="F1" s="870"/>
      <c r="G1" s="1015" t="s">
        <v>464</v>
      </c>
      <c r="H1" s="1015"/>
      <c r="I1" s="1015"/>
    </row>
    <row r="2" spans="1:9" s="871" customFormat="1" ht="16.5" customHeight="1">
      <c r="A2" s="612" t="str">
        <f>[4]TH!A2</f>
        <v>Địa chỉ: 1A227/1 Ấp 1, Phạm Văn Hai, Bình Chánh, TPHCM</v>
      </c>
      <c r="B2" s="849"/>
      <c r="C2" s="849"/>
      <c r="F2" s="735"/>
      <c r="G2" s="1016" t="s">
        <v>465</v>
      </c>
      <c r="H2" s="1016"/>
      <c r="I2" s="1016"/>
    </row>
    <row r="3" spans="1:9" s="871" customFormat="1" ht="16.5" customHeight="1">
      <c r="A3" s="849"/>
      <c r="B3" s="849"/>
      <c r="C3" s="849"/>
      <c r="F3" s="735"/>
      <c r="G3" s="1016"/>
      <c r="H3" s="1016"/>
      <c r="I3" s="1016"/>
    </row>
    <row r="4" spans="1:9" s="871" customFormat="1" ht="16.5" customHeight="1">
      <c r="A4" s="849"/>
      <c r="B4" s="849"/>
      <c r="C4" s="849"/>
      <c r="F4" s="735"/>
      <c r="G4" s="850"/>
      <c r="H4" s="850"/>
      <c r="I4" s="850"/>
    </row>
    <row r="5" spans="1:9" s="18" customFormat="1" ht="23.25" customHeight="1">
      <c r="A5" s="1030" t="s">
        <v>466</v>
      </c>
      <c r="B5" s="1030"/>
      <c r="C5" s="1030"/>
      <c r="D5" s="1030"/>
      <c r="E5" s="1030"/>
      <c r="F5" s="1030"/>
      <c r="G5" s="1030"/>
      <c r="H5" s="1030"/>
      <c r="I5" s="1030"/>
    </row>
    <row r="6" spans="1:9" s="18" customFormat="1">
      <c r="A6" s="972" t="s">
        <v>467</v>
      </c>
      <c r="B6" s="972"/>
      <c r="C6" s="972"/>
      <c r="D6" s="972"/>
      <c r="E6" s="972"/>
      <c r="F6" s="972"/>
      <c r="G6" s="972"/>
      <c r="H6" s="972"/>
      <c r="I6" s="972"/>
    </row>
    <row r="7" spans="1:9" s="18" customFormat="1">
      <c r="A7" s="972" t="s">
        <v>468</v>
      </c>
      <c r="B7" s="972"/>
      <c r="C7" s="972"/>
      <c r="D7" s="972"/>
      <c r="E7" s="972"/>
      <c r="F7" s="972"/>
      <c r="G7" s="972"/>
      <c r="H7" s="972"/>
      <c r="I7" s="972"/>
    </row>
    <row r="8" spans="1:9" s="18" customFormat="1" ht="15" customHeight="1">
      <c r="A8" s="972" t="str">
        <f>IF(MID($E$9,4,4)="1015","Đối tượng cho vay: NH Eximbank CN Q11","Đối tượng cho vay: NH Eximbank CN Q4")</f>
        <v>Đối tượng cho vay: NH Eximbank CN Q4</v>
      </c>
      <c r="B8" s="972"/>
      <c r="C8" s="972"/>
      <c r="D8" s="972"/>
      <c r="E8" s="972"/>
      <c r="F8" s="972"/>
      <c r="G8" s="972"/>
      <c r="H8" s="972"/>
      <c r="I8" s="972"/>
    </row>
    <row r="9" spans="1:9" s="18" customFormat="1">
      <c r="A9" s="847"/>
      <c r="B9" s="847"/>
      <c r="C9" s="847"/>
      <c r="D9" s="20" t="s">
        <v>469</v>
      </c>
      <c r="E9" s="1025" t="s">
        <v>463</v>
      </c>
      <c r="F9" s="1025"/>
      <c r="G9" s="851" t="e">
        <f>"ngày "&amp; TEXT(VLOOKUP($E$9,'341'!$B$4:$I$11,2,0),"dd/MM/yy")</f>
        <v>#N/A</v>
      </c>
      <c r="H9" s="847"/>
      <c r="I9" s="847"/>
    </row>
    <row r="10" spans="1:9" s="18" customFormat="1">
      <c r="A10" s="972" t="s">
        <v>470</v>
      </c>
      <c r="B10" s="972"/>
      <c r="C10" s="972"/>
      <c r="D10" s="972"/>
      <c r="E10" s="972"/>
      <c r="F10" s="972"/>
      <c r="G10" s="972"/>
      <c r="H10" s="972"/>
      <c r="I10" s="972"/>
    </row>
    <row r="11" spans="1:9" s="18" customFormat="1">
      <c r="C11" s="1019"/>
      <c r="D11" s="1019"/>
      <c r="E11" s="1019"/>
      <c r="F11" s="1019"/>
      <c r="G11" s="1019"/>
      <c r="H11" s="1019"/>
      <c r="I11" s="1019"/>
    </row>
    <row r="12" spans="1:9" s="18" customFormat="1" ht="15.75" customHeight="1">
      <c r="A12" s="1026" t="s">
        <v>20</v>
      </c>
      <c r="B12" s="1020" t="s">
        <v>1</v>
      </c>
      <c r="C12" s="1021"/>
      <c r="D12" s="1026" t="s">
        <v>0</v>
      </c>
      <c r="E12" s="1026" t="s">
        <v>14</v>
      </c>
      <c r="F12" s="1028" t="s">
        <v>471</v>
      </c>
      <c r="G12" s="1029"/>
      <c r="H12" s="1028" t="s">
        <v>472</v>
      </c>
      <c r="I12" s="1029"/>
    </row>
    <row r="13" spans="1:9" s="18" customFormat="1" ht="33.75" customHeight="1">
      <c r="A13" s="1027"/>
      <c r="B13" s="241" t="s">
        <v>15</v>
      </c>
      <c r="C13" s="241" t="s">
        <v>32</v>
      </c>
      <c r="D13" s="1027"/>
      <c r="E13" s="1027"/>
      <c r="F13" s="872" t="s">
        <v>22</v>
      </c>
      <c r="G13" s="872" t="s">
        <v>23</v>
      </c>
      <c r="H13" s="872" t="s">
        <v>22</v>
      </c>
      <c r="I13" s="872" t="s">
        <v>23</v>
      </c>
    </row>
    <row r="14" spans="1:9" s="847" customFormat="1">
      <c r="A14" s="848" t="s">
        <v>2</v>
      </c>
      <c r="B14" s="852" t="s">
        <v>3</v>
      </c>
      <c r="C14" s="848" t="s">
        <v>4</v>
      </c>
      <c r="D14" s="848" t="s">
        <v>5</v>
      </c>
      <c r="E14" s="848" t="s">
        <v>6</v>
      </c>
      <c r="F14" s="848">
        <v>3</v>
      </c>
      <c r="G14" s="848">
        <v>5</v>
      </c>
      <c r="H14" s="848">
        <v>7</v>
      </c>
      <c r="I14" s="848">
        <v>9</v>
      </c>
    </row>
    <row r="15" spans="1:9" s="18" customFormat="1" ht="19.5" customHeight="1">
      <c r="A15" s="873"/>
      <c r="B15" s="873"/>
      <c r="C15" s="873"/>
      <c r="D15" s="236" t="s">
        <v>7</v>
      </c>
      <c r="E15" s="237"/>
      <c r="F15" s="873"/>
      <c r="G15" s="873"/>
      <c r="H15" s="874" t="e">
        <f>VLOOKUP($E$9,'341'!$B$4:$I$11,3,0)</f>
        <v>#N/A</v>
      </c>
      <c r="I15" s="874" t="e">
        <f>VLOOKUP($E$9,'341'!$B$4:$I$11,4,0)</f>
        <v>#N/A</v>
      </c>
    </row>
    <row r="16" spans="1:9" s="18" customFormat="1" ht="19.5" customHeight="1">
      <c r="A16" s="198" t="str">
        <f ca="1">IF(ROWS($1:1)&gt;COUNT(Dong4),"",OFFSET([4]TH!C$1,SMALL(Dong4,ROWS($1:1)),))</f>
        <v/>
      </c>
      <c r="B16" s="183" t="str">
        <f ca="1">IF(ROWS($1:1)&gt;COUNT(Dong4),"",OFFSET([4]TH!D$1,SMALL(Dong4,ROWS($1:1)),))</f>
        <v/>
      </c>
      <c r="C16" s="183" t="str">
        <f ca="1">IF(ROWS($1:1)&gt;COUNT(Dong4),"",OFFSET([4]TH!E$1,SMALL(Dong4,ROWS($1:1)),))</f>
        <v/>
      </c>
      <c r="D16" s="875" t="str">
        <f ca="1">IF(ROWS($1:1)&gt;COUNT(Dong4),"",OFFSET([4]TH!F$1,SMALL(Dong4,ROWS($1:1)),))</f>
        <v/>
      </c>
      <c r="E16" s="183" t="str">
        <f ca="1">IF(ROWS($1:1)&gt;COUNT(Dong4),"",IF(LEFT(OFFSET([4]TH!M$1,SMALL(Dong4,ROWS($1:1)),),3)="341",OFFSET([4]TH!L$1,SMALL(Dong4,ROWS($1:1)),),OFFSET([4]TH!M$1,SMALL(Dong4,ROWS($1:1)),)))</f>
        <v/>
      </c>
      <c r="F16" s="876" t="str">
        <f ca="1">IF(ROWS($1:1)&gt;COUNT(Dong4),"",IF(LEFT(OFFSET([4]TH!L$1,SMALL(Dong4,ROWS($1:1)),),3)="341",OFFSET([4]TH!K$1,SMALL(Dong4,ROWS($1:1)),),0))</f>
        <v/>
      </c>
      <c r="G16" s="876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7" customFormat="1" ht="19.5" customHeight="1">
      <c r="A17" s="198" t="str">
        <f ca="1">IF(ROWS($1:2)&gt;COUNT(Dong4),"",OFFSET([4]TH!C$1,SMALL(Dong4,ROWS($1:2)),))</f>
        <v/>
      </c>
      <c r="B17" s="183" t="str">
        <f ca="1">IF(ROWS($1:2)&gt;COUNT(Dong4),"",OFFSET([4]TH!D$1,SMALL(Dong4,ROWS($1:2)),))</f>
        <v/>
      </c>
      <c r="C17" s="183" t="str">
        <f ca="1">IF(ROWS($1:2)&gt;COUNT(Dong4),"",OFFSET([4]TH!E$1,SMALL(Dong4,ROWS($1:2)),))</f>
        <v/>
      </c>
      <c r="D17" s="875" t="str">
        <f ca="1">IF(ROWS($1:2)&gt;COUNT(Dong4),"",OFFSET([4]TH!F$1,SMALL(Dong4,ROWS($1:2)),))</f>
        <v/>
      </c>
      <c r="E17" s="183" t="str">
        <f ca="1">IF(ROWS($1:2)&gt;COUNT(Dong4),"",IF(LEFT(OFFSET([4]TH!M$1,SMALL(Dong4,ROWS($1:2)),),3)="341",OFFSET([4]TH!L$1,SMALL(Dong4,ROWS($1:2)),),OFFSET([4]TH!M$1,SMALL(Dong4,ROWS($1:2)),)))</f>
        <v/>
      </c>
      <c r="F17" s="876" t="str">
        <f ca="1">IF(ROWS($1:2)&gt;COUNT(Dong4),"",IF(LEFT(OFFSET([4]TH!L$1,SMALL(Dong4,ROWS($1:2)),),3)="341",OFFSET([4]TH!K$1,SMALL(Dong4,ROWS($1:2)),),0))</f>
        <v/>
      </c>
      <c r="G17" s="876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7" customFormat="1" ht="19.5" customHeight="1">
      <c r="A18" s="198" t="str">
        <f ca="1">IF(ROWS($1:3)&gt;COUNT(Dong4),"",OFFSET([4]TH!C$1,SMALL(Dong4,ROWS($1:3)),))</f>
        <v/>
      </c>
      <c r="B18" s="183" t="str">
        <f ca="1">IF(ROWS($1:3)&gt;COUNT(Dong4),"",OFFSET([4]TH!D$1,SMALL(Dong4,ROWS($1:3)),))</f>
        <v/>
      </c>
      <c r="C18" s="183" t="str">
        <f ca="1">IF(ROWS($1:3)&gt;COUNT(Dong4),"",OFFSET([4]TH!E$1,SMALL(Dong4,ROWS($1:3)),))</f>
        <v/>
      </c>
      <c r="D18" s="875" t="str">
        <f ca="1">IF(ROWS($1:3)&gt;COUNT(Dong4),"",OFFSET([4]TH!F$1,SMALL(Dong4,ROWS($1:3)),))</f>
        <v/>
      </c>
      <c r="E18" s="183" t="str">
        <f ca="1">IF(ROWS($1:3)&gt;COUNT(Dong4),"",IF(LEFT(OFFSET([4]TH!M$1,SMALL(Dong4,ROWS($1:3)),),3)="341",OFFSET([4]TH!L$1,SMALL(Dong4,ROWS($1:3)),),OFFSET([4]TH!M$1,SMALL(Dong4,ROWS($1:3)),)))</f>
        <v/>
      </c>
      <c r="F18" s="876" t="str">
        <f ca="1">IF(ROWS($1:3)&gt;COUNT(Dong4),"",IF(LEFT(OFFSET([4]TH!L$1,SMALL(Dong4,ROWS($1:3)),),3)="341",OFFSET([4]TH!K$1,SMALL(Dong4,ROWS($1:3)),),0))</f>
        <v/>
      </c>
      <c r="G18" s="876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7" customFormat="1" ht="19.5" customHeight="1">
      <c r="A19" s="198" t="str">
        <f ca="1">IF(ROWS($1:4)&gt;COUNT(Dong4),"",OFFSET([4]TH!C$1,SMALL(Dong4,ROWS($1:4)),))</f>
        <v/>
      </c>
      <c r="B19" s="183" t="str">
        <f ca="1">IF(ROWS($1:4)&gt;COUNT(Dong4),"",OFFSET([4]TH!D$1,SMALL(Dong4,ROWS($1:4)),))</f>
        <v/>
      </c>
      <c r="C19" s="183" t="str">
        <f ca="1">IF(ROWS($1:4)&gt;COUNT(Dong4),"",OFFSET([4]TH!E$1,SMALL(Dong4,ROWS($1:4)),))</f>
        <v/>
      </c>
      <c r="D19" s="875" t="str">
        <f ca="1">IF(ROWS($1:4)&gt;COUNT(Dong4),"",OFFSET([4]TH!F$1,SMALL(Dong4,ROWS($1:4)),))</f>
        <v/>
      </c>
      <c r="E19" s="183" t="str">
        <f ca="1">IF(ROWS($1:4)&gt;COUNT(Dong4),"",IF(LEFT(OFFSET([4]TH!M$1,SMALL(Dong4,ROWS($1:4)),),3)="341",OFFSET([4]TH!L$1,SMALL(Dong4,ROWS($1:4)),),OFFSET([4]TH!M$1,SMALL(Dong4,ROWS($1:4)),)))</f>
        <v/>
      </c>
      <c r="F19" s="876" t="str">
        <f ca="1">IF(ROWS($1:4)&gt;COUNT(Dong4),"",IF(LEFT(OFFSET([4]TH!L$1,SMALL(Dong4,ROWS($1:4)),),3)="341",OFFSET([4]TH!K$1,SMALL(Dong4,ROWS($1:4)),),0))</f>
        <v/>
      </c>
      <c r="G19" s="876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7" customFormat="1" ht="19.5" customHeight="1">
      <c r="A20" s="198" t="str">
        <f ca="1">IF(ROWS($1:5)&gt;COUNT(Dong4),"",OFFSET([4]TH!C$1,SMALL(Dong4,ROWS($1:5)),))</f>
        <v/>
      </c>
      <c r="B20" s="183" t="str">
        <f ca="1">IF(ROWS($1:5)&gt;COUNT(Dong4),"",OFFSET([4]TH!D$1,SMALL(Dong4,ROWS($1:5)),))</f>
        <v/>
      </c>
      <c r="C20" s="183" t="str">
        <f ca="1">IF(ROWS($1:5)&gt;COUNT(Dong4),"",OFFSET([4]TH!E$1,SMALL(Dong4,ROWS($1:5)),))</f>
        <v/>
      </c>
      <c r="D20" s="875" t="str">
        <f ca="1">IF(ROWS($1:5)&gt;COUNT(Dong4),"",OFFSET([4]TH!F$1,SMALL(Dong4,ROWS($1:5)),))</f>
        <v/>
      </c>
      <c r="E20" s="183" t="str">
        <f ca="1">IF(ROWS($1:5)&gt;COUNT(Dong4),"",IF(LEFT(OFFSET([4]TH!M$1,SMALL(Dong4,ROWS($1:5)),),3)="341",OFFSET([4]TH!L$1,SMALL(Dong4,ROWS($1:5)),),OFFSET([4]TH!M$1,SMALL(Dong4,ROWS($1:5)),)))</f>
        <v/>
      </c>
      <c r="F20" s="876" t="str">
        <f ca="1">IF(ROWS($1:5)&gt;COUNT(Dong4),"",IF(LEFT(OFFSET([4]TH!L$1,SMALL(Dong4,ROWS($1:5)),),3)="341",OFFSET([4]TH!K$1,SMALL(Dong4,ROWS($1:5)),),0))</f>
        <v/>
      </c>
      <c r="G20" s="876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7" customFormat="1" ht="19.5" customHeight="1">
      <c r="A21" s="198" t="str">
        <f ca="1">IF(ROWS($1:6)&gt;COUNT(Dong4),"",OFFSET([4]TH!C$1,SMALL(Dong4,ROWS($1:6)),))</f>
        <v/>
      </c>
      <c r="B21" s="183" t="str">
        <f ca="1">IF(ROWS($1:6)&gt;COUNT(Dong4),"",OFFSET([4]TH!D$1,SMALL(Dong4,ROWS($1:6)),))</f>
        <v/>
      </c>
      <c r="C21" s="183" t="str">
        <f ca="1">IF(ROWS($1:6)&gt;COUNT(Dong4),"",OFFSET([4]TH!E$1,SMALL(Dong4,ROWS($1:6)),))</f>
        <v/>
      </c>
      <c r="D21" s="875" t="str">
        <f ca="1">IF(ROWS($1:6)&gt;COUNT(Dong4),"",OFFSET([4]TH!F$1,SMALL(Dong4,ROWS($1:6)),))</f>
        <v/>
      </c>
      <c r="E21" s="183" t="str">
        <f ca="1">IF(ROWS($1:6)&gt;COUNT(Dong4),"",IF(LEFT(OFFSET([4]TH!M$1,SMALL(Dong4,ROWS($1:6)),),3)="341",OFFSET([4]TH!L$1,SMALL(Dong4,ROWS($1:6)),),OFFSET([4]TH!M$1,SMALL(Dong4,ROWS($1:6)),)))</f>
        <v/>
      </c>
      <c r="F21" s="876" t="str">
        <f ca="1">IF(ROWS($1:6)&gt;COUNT(Dong4),"",IF(LEFT(OFFSET([4]TH!L$1,SMALL(Dong4,ROWS($1:6)),),3)="341",OFFSET([4]TH!K$1,SMALL(Dong4,ROWS($1:6)),),0))</f>
        <v/>
      </c>
      <c r="G21" s="876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7" customFormat="1" ht="19.5" customHeight="1">
      <c r="A22" s="198" t="str">
        <f ca="1">IF(ROWS($1:7)&gt;COUNT(Dong4),"",OFFSET([4]TH!C$1,SMALL(Dong4,ROWS($1:7)),))</f>
        <v/>
      </c>
      <c r="B22" s="183" t="str">
        <f ca="1">IF(ROWS($1:7)&gt;COUNT(Dong4),"",OFFSET([4]TH!D$1,SMALL(Dong4,ROWS($1:7)),))</f>
        <v/>
      </c>
      <c r="C22" s="183" t="str">
        <f ca="1">IF(ROWS($1:7)&gt;COUNT(Dong4),"",OFFSET([4]TH!E$1,SMALL(Dong4,ROWS($1:7)),))</f>
        <v/>
      </c>
      <c r="D22" s="875" t="str">
        <f ca="1">IF(ROWS($1:7)&gt;COUNT(Dong4),"",OFFSET([4]TH!F$1,SMALL(Dong4,ROWS($1:7)),))</f>
        <v/>
      </c>
      <c r="E22" s="183" t="str">
        <f ca="1">IF(ROWS($1:7)&gt;COUNT(Dong4),"",IF(LEFT(OFFSET([4]TH!M$1,SMALL(Dong4,ROWS($1:7)),),3)="341",OFFSET([4]TH!L$1,SMALL(Dong4,ROWS($1:7)),),OFFSET([4]TH!M$1,SMALL(Dong4,ROWS($1:7)),)))</f>
        <v/>
      </c>
      <c r="F22" s="876" t="str">
        <f ca="1">IF(ROWS($1:7)&gt;COUNT(Dong4),"",IF(LEFT(OFFSET([4]TH!L$1,SMALL(Dong4,ROWS($1:7)),),3)="341",OFFSET([4]TH!K$1,SMALL(Dong4,ROWS($1:7)),),0))</f>
        <v/>
      </c>
      <c r="G22" s="876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7" customFormat="1" ht="19.5" customHeight="1">
      <c r="A23" s="198" t="str">
        <f ca="1">IF(ROWS($1:8)&gt;COUNT(Dong4),"",OFFSET([4]TH!C$1,SMALL(Dong4,ROWS($1:8)),))</f>
        <v/>
      </c>
      <c r="B23" s="183" t="str">
        <f ca="1">IF(ROWS($1:8)&gt;COUNT(Dong4),"",OFFSET([4]TH!D$1,SMALL(Dong4,ROWS($1:8)),))</f>
        <v/>
      </c>
      <c r="C23" s="183" t="str">
        <f ca="1">IF(ROWS($1:8)&gt;COUNT(Dong4),"",OFFSET([4]TH!E$1,SMALL(Dong4,ROWS($1:8)),))</f>
        <v/>
      </c>
      <c r="D23" s="875" t="str">
        <f ca="1">IF(ROWS($1:8)&gt;COUNT(Dong4),"",OFFSET([4]TH!F$1,SMALL(Dong4,ROWS($1:8)),))</f>
        <v/>
      </c>
      <c r="E23" s="183" t="str">
        <f ca="1">IF(ROWS($1:8)&gt;COUNT(Dong4),"",IF(LEFT(OFFSET([4]TH!M$1,SMALL(Dong4,ROWS($1:8)),),3)="341",OFFSET([4]TH!L$1,SMALL(Dong4,ROWS($1:8)),),OFFSET([4]TH!M$1,SMALL(Dong4,ROWS($1:8)),)))</f>
        <v/>
      </c>
      <c r="F23" s="876" t="str">
        <f ca="1">IF(ROWS($1:8)&gt;COUNT(Dong4),"",IF(LEFT(OFFSET([4]TH!L$1,SMALL(Dong4,ROWS($1:8)),),3)="341",OFFSET([4]TH!K$1,SMALL(Dong4,ROWS($1:8)),),0))</f>
        <v/>
      </c>
      <c r="G23" s="876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7" customFormat="1" ht="19.5" customHeight="1">
      <c r="A24" s="198" t="str">
        <f ca="1">IF(ROWS($1:9)&gt;COUNT(Dong4),"",OFFSET([4]TH!C$1,SMALL(Dong4,ROWS($1:9)),))</f>
        <v/>
      </c>
      <c r="B24" s="183" t="str">
        <f ca="1">IF(ROWS($1:9)&gt;COUNT(Dong4),"",OFFSET([4]TH!D$1,SMALL(Dong4,ROWS($1:9)),))</f>
        <v/>
      </c>
      <c r="C24" s="183" t="str">
        <f ca="1">IF(ROWS($1:9)&gt;COUNT(Dong4),"",OFFSET([4]TH!E$1,SMALL(Dong4,ROWS($1:9)),))</f>
        <v/>
      </c>
      <c r="D24" s="875" t="str">
        <f ca="1">IF(ROWS($1:9)&gt;COUNT(Dong4),"",OFFSET([4]TH!F$1,SMALL(Dong4,ROWS($1:9)),))</f>
        <v/>
      </c>
      <c r="E24" s="183" t="str">
        <f ca="1">IF(ROWS($1:9)&gt;COUNT(Dong4),"",IF(LEFT(OFFSET([4]TH!M$1,SMALL(Dong4,ROWS($1:9)),),3)="341",OFFSET([4]TH!L$1,SMALL(Dong4,ROWS($1:9)),),OFFSET([4]TH!M$1,SMALL(Dong4,ROWS($1:9)),)))</f>
        <v/>
      </c>
      <c r="F24" s="876" t="str">
        <f ca="1">IF(ROWS($1:9)&gt;COUNT(Dong4),"",IF(LEFT(OFFSET([4]TH!L$1,SMALL(Dong4,ROWS($1:9)),),3)="341",OFFSET([4]TH!K$1,SMALL(Dong4,ROWS($1:9)),),0))</f>
        <v/>
      </c>
      <c r="G24" s="876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7" customFormat="1" ht="19.5" customHeight="1">
      <c r="A25" s="878"/>
      <c r="B25" s="878"/>
      <c r="C25" s="878"/>
      <c r="D25" s="879"/>
      <c r="E25" s="880"/>
      <c r="F25" s="881"/>
      <c r="G25" s="882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6">
        <f ca="1">SUM(F16:F25)</f>
        <v>0</v>
      </c>
      <c r="G26" s="776">
        <f ca="1">SUM(G16:G25)</f>
        <v>0</v>
      </c>
      <c r="H26" s="883" t="s">
        <v>19</v>
      </c>
      <c r="I26" s="883" t="s">
        <v>19</v>
      </c>
    </row>
    <row r="27" spans="1:9" s="18" customFormat="1" ht="19.5" customHeight="1">
      <c r="A27" s="884"/>
      <c r="B27" s="884"/>
      <c r="C27" s="884"/>
      <c r="D27" s="239" t="s">
        <v>10</v>
      </c>
      <c r="E27" s="240" t="s">
        <v>19</v>
      </c>
      <c r="F27" s="240" t="s">
        <v>19</v>
      </c>
      <c r="G27" s="240" t="s">
        <v>19</v>
      </c>
      <c r="H27" s="885" t="e">
        <f ca="1">MAX(H15+F26-I15-G26,0)</f>
        <v>#N/A</v>
      </c>
      <c r="I27" s="885" t="e">
        <f ca="1">MAX(I15+G26-H15-F26,0)</f>
        <v>#N/A</v>
      </c>
    </row>
    <row r="28" spans="1:9" s="18" customFormat="1">
      <c r="E28" s="847"/>
    </row>
    <row r="29" spans="1:9" s="18" customFormat="1">
      <c r="A29" s="886" t="s">
        <v>473</v>
      </c>
      <c r="E29" s="847"/>
    </row>
    <row r="30" spans="1:9" s="18" customFormat="1">
      <c r="A30" s="886" t="e">
        <f>"- Ngày mở sổ: "&amp; TEXT(VLOOKUP($E$9,'341'!$B$4:$I$11,2,0),"dd/MM/yy")</f>
        <v>#N/A</v>
      </c>
      <c r="E30" s="847"/>
    </row>
    <row r="31" spans="1:9" s="18" customFormat="1">
      <c r="E31" s="847"/>
      <c r="H31" s="847" t="s">
        <v>474</v>
      </c>
    </row>
    <row r="32" spans="1:9" s="18" customFormat="1">
      <c r="C32" s="847" t="s">
        <v>11</v>
      </c>
      <c r="E32" s="847"/>
      <c r="H32" s="847" t="s">
        <v>12</v>
      </c>
    </row>
    <row r="33" spans="2:8" s="18" customFormat="1">
      <c r="C33" s="847" t="s">
        <v>13</v>
      </c>
      <c r="E33" s="847"/>
      <c r="H33" s="847" t="s">
        <v>13</v>
      </c>
    </row>
    <row r="34" spans="2:8" s="18" customFormat="1">
      <c r="E34" s="847"/>
    </row>
    <row r="35" spans="2:8" s="18" customFormat="1">
      <c r="E35" s="847"/>
    </row>
    <row r="36" spans="2:8" s="887" customFormat="1"/>
    <row r="37" spans="2:8" s="887" customFormat="1"/>
    <row r="38" spans="2:8" s="887" customFormat="1"/>
    <row r="39" spans="2:8" s="887" customFormat="1"/>
    <row r="40" spans="2:8" s="887" customFormat="1" ht="15">
      <c r="B40" s="888"/>
      <c r="C40" s="889" t="s">
        <v>475</v>
      </c>
      <c r="D40" s="888"/>
    </row>
    <row r="41" spans="2:8" s="887" customFormat="1"/>
    <row r="42" spans="2:8" s="887" customFormat="1"/>
    <row r="43" spans="2:8" s="887" customFormat="1"/>
    <row r="44" spans="2:8" s="887" customFormat="1"/>
    <row r="45" spans="2:8" s="887" customFormat="1"/>
    <row r="46" spans="2:8" s="887" customFormat="1"/>
    <row r="47" spans="2:8" s="887" customFormat="1"/>
    <row r="48" spans="2:8" s="887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20" t="str">
        <f>TH!$A$1</f>
        <v>Đơn vị: CÔNG TY TNHH SX TM KIM DUNG PHÁT</v>
      </c>
      <c r="C2" s="264"/>
      <c r="F2" s="265"/>
      <c r="G2" s="265"/>
      <c r="H2" s="265"/>
      <c r="I2" s="265"/>
      <c r="J2" s="1033" t="s">
        <v>178</v>
      </c>
      <c r="K2" s="1033"/>
      <c r="L2" s="1033"/>
      <c r="M2" s="1033"/>
      <c r="N2" s="265"/>
    </row>
    <row r="3" spans="1:14">
      <c r="A3" s="821" t="str">
        <f>TH!$A$2</f>
        <v>Địa chỉ: 1A227/1 Ấp 1, Phạm Văn Hai, Bình Chánh, TPHCM</v>
      </c>
      <c r="C3" s="264"/>
      <c r="F3" s="266"/>
      <c r="G3" s="266"/>
      <c r="H3" s="266"/>
      <c r="I3" s="266"/>
      <c r="J3" s="1041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41"/>
      <c r="L3" s="1041"/>
      <c r="M3" s="1041"/>
      <c r="N3" s="266"/>
    </row>
    <row r="4" spans="1:14">
      <c r="F4" s="266"/>
      <c r="G4" s="266"/>
      <c r="H4" s="266"/>
      <c r="I4" s="266"/>
      <c r="J4" s="1041"/>
      <c r="K4" s="1041"/>
      <c r="L4" s="1041"/>
      <c r="M4" s="1041"/>
      <c r="N4" s="266"/>
    </row>
    <row r="5" spans="1:14" s="267" customFormat="1" ht="23.25" customHeight="1">
      <c r="A5" s="1032" t="s">
        <v>179</v>
      </c>
      <c r="B5" s="1032"/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M5" s="1032"/>
      <c r="N5" s="1032"/>
    </row>
    <row r="6" spans="1:14">
      <c r="A6" s="1033" t="s">
        <v>421</v>
      </c>
      <c r="B6" s="1033" t="s">
        <v>180</v>
      </c>
      <c r="C6" s="1033"/>
      <c r="D6" s="1033"/>
      <c r="E6" s="1033"/>
      <c r="F6" s="1033"/>
      <c r="G6" s="1033"/>
      <c r="H6" s="1033"/>
      <c r="I6" s="1033"/>
      <c r="J6" s="1033"/>
      <c r="K6" s="1033"/>
      <c r="L6" s="1033"/>
      <c r="M6" s="1033"/>
      <c r="N6" s="1033"/>
    </row>
    <row r="7" spans="1:14">
      <c r="C7" s="1034"/>
      <c r="D7" s="1034"/>
      <c r="E7" s="1034"/>
      <c r="F7" s="1034"/>
      <c r="G7" s="1034"/>
      <c r="H7" s="1034"/>
      <c r="I7" s="1034"/>
      <c r="J7" s="1034"/>
      <c r="K7" s="1034"/>
      <c r="L7" s="1034"/>
      <c r="M7" s="1034"/>
      <c r="N7" s="1034"/>
    </row>
    <row r="8" spans="1:14" ht="15.75" customHeight="1">
      <c r="A8" s="1035" t="s">
        <v>20</v>
      </c>
      <c r="B8" s="1036" t="s">
        <v>1</v>
      </c>
      <c r="C8" s="1037"/>
      <c r="D8" s="1035" t="s">
        <v>0</v>
      </c>
      <c r="E8" s="1035" t="s">
        <v>14</v>
      </c>
      <c r="F8" s="1040" t="s">
        <v>21</v>
      </c>
      <c r="G8" s="1040"/>
      <c r="H8" s="1040"/>
      <c r="I8" s="1040"/>
      <c r="J8" s="1040"/>
      <c r="K8" s="1040"/>
      <c r="L8" s="1040" t="s">
        <v>31</v>
      </c>
      <c r="M8" s="1040"/>
      <c r="N8" s="1040"/>
    </row>
    <row r="9" spans="1:14" ht="15.75" customHeight="1">
      <c r="A9" s="1035"/>
      <c r="B9" s="1038"/>
      <c r="C9" s="1039"/>
      <c r="D9" s="1035"/>
      <c r="E9" s="1035"/>
      <c r="F9" s="1040" t="s">
        <v>181</v>
      </c>
      <c r="G9" s="1040"/>
      <c r="H9" s="1040"/>
      <c r="I9" s="1040" t="s">
        <v>182</v>
      </c>
      <c r="J9" s="1040"/>
      <c r="K9" s="1040"/>
      <c r="L9" s="1035" t="s">
        <v>183</v>
      </c>
      <c r="M9" s="1035" t="s">
        <v>184</v>
      </c>
      <c r="N9" s="1035" t="s">
        <v>185</v>
      </c>
    </row>
    <row r="10" spans="1:14" ht="15.75" customHeight="1">
      <c r="A10" s="1035"/>
      <c r="B10" s="1043" t="s">
        <v>15</v>
      </c>
      <c r="C10" s="1043" t="s">
        <v>32</v>
      </c>
      <c r="D10" s="1035"/>
      <c r="E10" s="1035"/>
      <c r="F10" s="1045" t="s">
        <v>183</v>
      </c>
      <c r="G10" s="1045" t="s">
        <v>184</v>
      </c>
      <c r="H10" s="1045" t="s">
        <v>185</v>
      </c>
      <c r="I10" s="1045" t="s">
        <v>183</v>
      </c>
      <c r="J10" s="1045" t="s">
        <v>184</v>
      </c>
      <c r="K10" s="1045" t="s">
        <v>185</v>
      </c>
      <c r="L10" s="1042"/>
      <c r="M10" s="1042"/>
      <c r="N10" s="1042"/>
    </row>
    <row r="11" spans="1:14">
      <c r="A11" s="1035"/>
      <c r="B11" s="1044"/>
      <c r="C11" s="1044"/>
      <c r="D11" s="1035"/>
      <c r="E11" s="1035"/>
      <c r="F11" s="1046"/>
      <c r="G11" s="1046"/>
      <c r="H11" s="1046"/>
      <c r="I11" s="1046"/>
      <c r="J11" s="1046"/>
      <c r="K11" s="1046"/>
      <c r="L11" s="1042"/>
      <c r="M11" s="1042"/>
      <c r="N11" s="104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5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0</v>
      </c>
      <c r="M13" s="270"/>
      <c r="N13" s="270"/>
    </row>
    <row r="14" spans="1:14">
      <c r="A14" s="824">
        <v>40634</v>
      </c>
      <c r="B14" s="725" t="s">
        <v>356</v>
      </c>
      <c r="C14" s="824">
        <v>40634</v>
      </c>
      <c r="D14" s="273" t="s">
        <v>405</v>
      </c>
      <c r="E14" s="725" t="s">
        <v>47</v>
      </c>
      <c r="F14" s="273"/>
      <c r="G14" s="273"/>
      <c r="H14" s="273"/>
      <c r="I14" s="348">
        <v>1700000000</v>
      </c>
      <c r="J14" s="273"/>
      <c r="K14" s="273"/>
      <c r="L14" s="728">
        <f>L13+I14-G14</f>
        <v>1700000000</v>
      </c>
      <c r="M14" s="273"/>
      <c r="N14" s="273"/>
    </row>
    <row r="15" spans="1:14">
      <c r="A15" s="824">
        <v>40634</v>
      </c>
      <c r="B15" s="725" t="s">
        <v>357</v>
      </c>
      <c r="C15" s="824">
        <v>40634</v>
      </c>
      <c r="D15" s="274" t="s">
        <v>406</v>
      </c>
      <c r="E15" s="726" t="s">
        <v>47</v>
      </c>
      <c r="F15" s="274"/>
      <c r="G15" s="274"/>
      <c r="H15" s="274"/>
      <c r="I15" s="363">
        <v>100000000</v>
      </c>
      <c r="J15" s="274"/>
      <c r="K15" s="274"/>
      <c r="L15" s="728">
        <f t="shared" ref="L15:L16" si="0">L14+I15-G15</f>
        <v>1800000000</v>
      </c>
      <c r="M15" s="274"/>
      <c r="N15" s="274"/>
    </row>
    <row r="16" spans="1:14">
      <c r="A16" s="824">
        <v>40634</v>
      </c>
      <c r="B16" s="725" t="s">
        <v>362</v>
      </c>
      <c r="C16" s="824">
        <v>40634</v>
      </c>
      <c r="D16" s="274" t="s">
        <v>407</v>
      </c>
      <c r="E16" s="726" t="s">
        <v>47</v>
      </c>
      <c r="F16" s="274"/>
      <c r="G16" s="274"/>
      <c r="H16" s="274"/>
      <c r="I16" s="363">
        <v>100000000</v>
      </c>
      <c r="J16" s="274"/>
      <c r="K16" s="274"/>
      <c r="L16" s="728">
        <f t="shared" si="0"/>
        <v>1900000000</v>
      </c>
      <c r="M16" s="274"/>
      <c r="N16" s="274"/>
    </row>
    <row r="17" spans="1:14">
      <c r="A17" s="725"/>
      <c r="B17" s="273"/>
      <c r="C17" s="725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725"/>
      <c r="B18" s="273"/>
      <c r="C18" s="725"/>
      <c r="D18" s="275" t="s">
        <v>133</v>
      </c>
      <c r="E18" s="487" t="s">
        <v>19</v>
      </c>
      <c r="F18" s="276"/>
      <c r="G18" s="276"/>
      <c r="H18" s="276"/>
      <c r="I18" s="727">
        <f>SUM(I13:I17)</f>
        <v>1900000000</v>
      </c>
      <c r="J18" s="276"/>
      <c r="K18" s="276"/>
      <c r="L18" s="729">
        <f>L13+I18-F18</f>
        <v>1900000000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88" t="s">
        <v>19</v>
      </c>
      <c r="F19" s="277"/>
      <c r="G19" s="277"/>
      <c r="H19" s="277"/>
      <c r="I19" s="277"/>
      <c r="J19" s="277"/>
      <c r="K19" s="277"/>
      <c r="L19" s="279">
        <f>L13+L18</f>
        <v>1900000000</v>
      </c>
      <c r="M19" s="277"/>
      <c r="N19" s="277"/>
    </row>
    <row r="21" spans="1:14">
      <c r="C21" s="280" t="s">
        <v>186</v>
      </c>
    </row>
    <row r="22" spans="1:14">
      <c r="C22" s="179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31" t="str">
        <f>"Ngày 31 tháng  12  năm  "&amp;YEAR($A$14)</f>
        <v>Ngày 31 tháng  12  năm  2011</v>
      </c>
      <c r="F23" s="1031"/>
      <c r="G23" s="1031"/>
      <c r="H23" s="1031"/>
      <c r="I23" s="1031"/>
      <c r="J23" s="1031"/>
      <c r="K23" s="1031"/>
      <c r="L23" s="1031"/>
      <c r="M23" s="1031"/>
      <c r="N23" s="1031"/>
    </row>
    <row r="24" spans="1:14">
      <c r="A24" s="1031" t="s">
        <v>11</v>
      </c>
      <c r="B24" s="1031"/>
      <c r="C24" s="1031"/>
      <c r="D24" s="1031"/>
      <c r="E24" s="1031" t="s">
        <v>12</v>
      </c>
      <c r="F24" s="1031"/>
      <c r="G24" s="1031"/>
      <c r="H24" s="1031"/>
      <c r="I24" s="1031"/>
      <c r="J24" s="1031"/>
      <c r="K24" s="1031"/>
      <c r="L24" s="1031"/>
      <c r="M24" s="1031"/>
      <c r="N24" s="1031"/>
    </row>
    <row r="25" spans="1:14">
      <c r="A25" s="1031" t="s">
        <v>13</v>
      </c>
      <c r="B25" s="1031"/>
      <c r="C25" s="1031"/>
      <c r="D25" s="1031"/>
      <c r="E25" s="1031" t="s">
        <v>13</v>
      </c>
      <c r="F25" s="1031"/>
      <c r="G25" s="1031"/>
      <c r="H25" s="1031"/>
      <c r="I25" s="1031"/>
      <c r="J25" s="1031"/>
      <c r="K25" s="1031"/>
      <c r="L25" s="1031"/>
      <c r="M25" s="1031"/>
      <c r="N25" s="1031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49"/>
  <sheetViews>
    <sheetView topLeftCell="A9" workbookViewId="0">
      <pane ySplit="3" topLeftCell="A12" activePane="bottomLeft" state="frozen"/>
      <selection activeCell="A9" sqref="A9"/>
      <selection pane="bottomLeft" activeCell="C23" sqref="C2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20" t="str">
        <f>TH!$A$1</f>
        <v>Đơn vị: CÔNG TY TNHH SX TM KIM DUNG PHÁT</v>
      </c>
      <c r="C1" s="282"/>
      <c r="D1" s="282"/>
      <c r="E1" s="282"/>
      <c r="F1" s="283"/>
      <c r="G1" s="283"/>
      <c r="H1" s="1015" t="s">
        <v>187</v>
      </c>
      <c r="I1" s="1015"/>
      <c r="J1" s="1015"/>
      <c r="K1" s="1015"/>
      <c r="L1" s="1015"/>
      <c r="M1" s="730"/>
      <c r="N1" s="731"/>
    </row>
    <row r="2" spans="1:14" s="262" customFormat="1" ht="14.25" customHeight="1">
      <c r="B2" s="821" t="str">
        <f>TH!$A$2</f>
        <v>Địa chỉ: 1A227/1 Ấp 1, Phạm Văn Hai, Bình Chánh, TPHCM</v>
      </c>
      <c r="C2" s="284"/>
      <c r="D2" s="284"/>
      <c r="E2" s="284"/>
      <c r="F2" s="284"/>
      <c r="G2" s="284"/>
      <c r="H2" s="1016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16"/>
      <c r="J2" s="1016"/>
      <c r="K2" s="1016"/>
      <c r="L2" s="1016"/>
      <c r="M2" s="735"/>
      <c r="N2" s="731"/>
    </row>
    <row r="3" spans="1:14" s="262" customFormat="1" ht="14.25" customHeight="1">
      <c r="B3" s="284"/>
      <c r="C3" s="284"/>
      <c r="D3" s="284"/>
      <c r="E3" s="284"/>
      <c r="F3" s="284"/>
      <c r="G3" s="284"/>
      <c r="H3" s="1016"/>
      <c r="I3" s="1016"/>
      <c r="J3" s="1016"/>
      <c r="K3" s="1016"/>
      <c r="L3" s="1016"/>
      <c r="M3" s="736"/>
      <c r="N3" s="731"/>
    </row>
    <row r="4" spans="1:14" s="285" customFormat="1" ht="27.75" customHeight="1">
      <c r="B4" s="1055" t="s">
        <v>188</v>
      </c>
      <c r="C4" s="1055"/>
      <c r="D4" s="1055"/>
      <c r="E4" s="1055"/>
      <c r="F4" s="1055"/>
      <c r="G4" s="1055"/>
      <c r="H4" s="1055"/>
      <c r="I4" s="1055"/>
      <c r="J4" s="1055"/>
      <c r="K4" s="1055"/>
      <c r="L4" s="1055"/>
      <c r="N4" s="732"/>
    </row>
    <row r="5" spans="1:14" s="285" customFormat="1" ht="15" customHeight="1">
      <c r="B5" s="1054" t="s">
        <v>189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N5" s="732"/>
    </row>
    <row r="6" spans="1:14" s="285" customFormat="1" ht="12.75" customHeight="1">
      <c r="B6" s="1054" t="s">
        <v>190</v>
      </c>
      <c r="C6" s="1054"/>
      <c r="D6" s="1054"/>
      <c r="E6" s="1054"/>
      <c r="F6" s="1054"/>
      <c r="G6" s="1054"/>
      <c r="H6" s="1054"/>
      <c r="I6" s="1054"/>
      <c r="J6" s="1054"/>
      <c r="K6" s="1054"/>
      <c r="L6" s="1054"/>
      <c r="N6" s="732"/>
    </row>
    <row r="7" spans="1:14" s="286" customFormat="1" ht="24" customHeight="1">
      <c r="C7" s="1047" t="s">
        <v>191</v>
      </c>
      <c r="D7" s="1047"/>
      <c r="E7" s="1047"/>
      <c r="F7" s="1047"/>
      <c r="G7" s="1047"/>
      <c r="H7" s="1047"/>
      <c r="I7" s="1047"/>
      <c r="J7" s="1047"/>
      <c r="K7" s="1047"/>
      <c r="L7" s="1047"/>
      <c r="N7" s="733"/>
    </row>
    <row r="8" spans="1:14" ht="20.25" customHeight="1">
      <c r="B8" s="1048" t="s">
        <v>35</v>
      </c>
      <c r="C8" s="1049" t="s">
        <v>192</v>
      </c>
      <c r="D8" s="1050" t="s">
        <v>193</v>
      </c>
      <c r="E8" s="1052" t="s">
        <v>139</v>
      </c>
      <c r="F8" s="1052"/>
      <c r="G8" s="1052"/>
      <c r="H8" s="1052"/>
      <c r="I8" s="1052"/>
      <c r="J8" s="1052"/>
      <c r="K8" s="1052"/>
      <c r="L8" s="1052"/>
    </row>
    <row r="9" spans="1:14" ht="20.25" customHeight="1">
      <c r="B9" s="1048"/>
      <c r="C9" s="1049"/>
      <c r="D9" s="1051"/>
      <c r="E9" s="1052" t="s">
        <v>194</v>
      </c>
      <c r="F9" s="1052"/>
      <c r="G9" s="1053" t="s">
        <v>195</v>
      </c>
      <c r="H9" s="1053"/>
      <c r="I9" s="1053" t="s">
        <v>196</v>
      </c>
      <c r="J9" s="1053"/>
      <c r="K9" s="1053" t="s">
        <v>197</v>
      </c>
      <c r="L9" s="1053"/>
    </row>
    <row r="10" spans="1:14" ht="20.25" customHeight="1">
      <c r="B10" s="1048"/>
      <c r="C10" s="1049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4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531</v>
      </c>
      <c r="D12" s="295" t="s">
        <v>335</v>
      </c>
      <c r="E12" s="25"/>
      <c r="F12" s="25"/>
      <c r="G12" s="25">
        <f t="array" ref="G12">SUM(IF("1522"&amp;C12=KHN&amp;MH,SL))</f>
        <v>46970</v>
      </c>
      <c r="H12" s="25">
        <f t="array" ref="H12">SUM(IF("1522"&amp;C12=KHN&amp;MH,TH))</f>
        <v>36636600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46970</v>
      </c>
      <c r="L12" s="25">
        <f t="shared" si="0"/>
        <v>36636600</v>
      </c>
      <c r="M12" s="292"/>
    </row>
    <row r="13" spans="1:14" ht="18" customHeight="1">
      <c r="A13" s="292" t="str">
        <f>IF(B13&lt;&gt;"","VL","")</f>
        <v/>
      </c>
      <c r="B13" s="293" t="str">
        <f>IF(C13&lt;&gt;"",ROW()-11,"")</f>
        <v/>
      </c>
      <c r="C13" s="188"/>
      <c r="D13" s="295" t="s">
        <v>335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0</v>
      </c>
      <c r="L13" s="8">
        <f t="shared" si="0"/>
        <v>0</v>
      </c>
      <c r="M13" s="292"/>
    </row>
    <row r="14" spans="1:14" ht="18" customHeight="1">
      <c r="A14" s="292" t="str">
        <f>IF(B14&lt;&gt;"","VL","")</f>
        <v/>
      </c>
      <c r="B14" s="293" t="str">
        <f>IF(C14&lt;&gt;"",ROW()-11,"")</f>
        <v/>
      </c>
      <c r="C14" s="296"/>
      <c r="D14" s="295" t="s">
        <v>335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0</v>
      </c>
      <c r="L14" s="8">
        <f t="shared" si="0"/>
        <v>0</v>
      </c>
      <c r="M14" s="292"/>
    </row>
    <row r="15" spans="1:14" ht="18" customHeight="1">
      <c r="A15" s="292" t="str">
        <f t="shared" ref="A15:A16" si="1">IF(B15&lt;&gt;"","VL","")</f>
        <v/>
      </c>
      <c r="B15" s="774" t="str">
        <f t="shared" ref="B15:B16" si="2">IF(C15&lt;&gt;"",ROW()-11,"")</f>
        <v/>
      </c>
      <c r="C15" s="296"/>
      <c r="D15" s="295" t="s">
        <v>335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:K16" si="3">E15+G15-I15</f>
        <v>0</v>
      </c>
      <c r="L15" s="8">
        <f t="shared" ref="L15:L16" si="4">F15+H15-J15</f>
        <v>0</v>
      </c>
      <c r="M15" s="292"/>
    </row>
    <row r="16" spans="1:14" ht="18" customHeight="1">
      <c r="A16" s="292" t="str">
        <f t="shared" si="1"/>
        <v/>
      </c>
      <c r="B16" s="774" t="str">
        <f t="shared" si="2"/>
        <v/>
      </c>
      <c r="C16" s="188"/>
      <c r="D16" s="295" t="s">
        <v>335</v>
      </c>
      <c r="E16" s="8"/>
      <c r="F16" s="8"/>
      <c r="G16" s="25">
        <f t="array" ref="G16">SUM(IF("1522"&amp;C16=KHN&amp;MH,SL))</f>
        <v>0</v>
      </c>
      <c r="H16" s="25">
        <f t="array" ref="H16">SUM(IF("1522"&amp;C16=KHN&amp;MH,TH))</f>
        <v>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3"/>
        <v>0</v>
      </c>
      <c r="L16" s="8">
        <f t="shared" si="4"/>
        <v>0</v>
      </c>
      <c r="M16" s="292"/>
    </row>
    <row r="17" spans="1:13" ht="18.75" customHeight="1">
      <c r="A17" s="292" t="str">
        <f>IF(B17&lt;&gt;"","VL","")</f>
        <v/>
      </c>
      <c r="B17" s="293" t="str">
        <f>IF(C17&lt;&gt;"",ROW()-11,"")</f>
        <v/>
      </c>
      <c r="C17" s="297"/>
      <c r="D17" s="298"/>
      <c r="E17" s="299"/>
      <c r="F17" s="299"/>
      <c r="G17" s="25"/>
      <c r="H17" s="299"/>
      <c r="I17" s="299"/>
      <c r="J17" s="299"/>
      <c r="K17" s="299"/>
      <c r="L17" s="299"/>
      <c r="M17" s="292"/>
    </row>
    <row r="18" spans="1:13" ht="18.75" customHeight="1">
      <c r="A18" s="292" t="str">
        <f>IF(B18&lt;&gt;"","VL","")</f>
        <v/>
      </c>
      <c r="B18" s="291"/>
      <c r="C18" s="300" t="s">
        <v>334</v>
      </c>
      <c r="D18" s="13"/>
      <c r="E18" s="13">
        <f t="shared" ref="E18:L18" si="5">SUM(E12:E17)</f>
        <v>0</v>
      </c>
      <c r="F18" s="13">
        <f t="shared" si="5"/>
        <v>0</v>
      </c>
      <c r="G18" s="13">
        <f t="shared" si="5"/>
        <v>46970</v>
      </c>
      <c r="H18" s="13">
        <f t="shared" si="5"/>
        <v>36636600</v>
      </c>
      <c r="I18" s="13">
        <f t="shared" si="5"/>
        <v>0</v>
      </c>
      <c r="J18" s="13">
        <f t="shared" si="5"/>
        <v>0</v>
      </c>
      <c r="K18" s="13">
        <f t="shared" si="5"/>
        <v>46970</v>
      </c>
      <c r="L18" s="13">
        <f t="shared" si="5"/>
        <v>36636600</v>
      </c>
      <c r="M18" s="292"/>
    </row>
    <row r="19" spans="1:13" ht="18.75" customHeight="1">
      <c r="A19" s="292"/>
      <c r="B19" s="473"/>
      <c r="C19" s="474"/>
      <c r="D19" s="475"/>
      <c r="E19" s="475"/>
      <c r="F19" s="475">
        <f>F18-CDPS!C20</f>
        <v>0</v>
      </c>
      <c r="G19" s="475"/>
      <c r="H19" s="475">
        <f>H18-CDPS!E20</f>
        <v>0</v>
      </c>
      <c r="I19" s="475"/>
      <c r="J19" s="475">
        <f>J18-CDPS!F20</f>
        <v>0</v>
      </c>
      <c r="K19" s="475"/>
      <c r="L19" s="475">
        <f>L18-CDPS!G20</f>
        <v>0</v>
      </c>
      <c r="M19" s="292"/>
    </row>
    <row r="20" spans="1:13" ht="18.75" customHeight="1">
      <c r="A20" s="292" t="str">
        <f t="shared" ref="A20:A29" si="6">IF(B20&lt;&gt;"","NL","")</f>
        <v>NL</v>
      </c>
      <c r="B20" s="472">
        <f>IF(C20&lt;&gt;"",B19+1,"")</f>
        <v>1</v>
      </c>
      <c r="C20" s="188" t="s">
        <v>490</v>
      </c>
      <c r="D20" s="295" t="s">
        <v>335</v>
      </c>
      <c r="E20" s="25"/>
      <c r="F20" s="25"/>
      <c r="G20" s="25">
        <f t="array" ref="G20">SUM(IF("1521"&amp;C20=KHN&amp;MH,SL))</f>
        <v>39900</v>
      </c>
      <c r="H20" s="25">
        <f t="array" ref="H20">SUM(IF("1521"&amp;C20=KHN&amp;MH,TH))</f>
        <v>302211200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25">
        <f t="shared" ref="K20:K29" si="7">E20+G20-I20</f>
        <v>39900</v>
      </c>
      <c r="L20" s="25">
        <f t="shared" ref="L20:L29" si="8">F20+H20-J20</f>
        <v>302211200</v>
      </c>
      <c r="M20" s="292"/>
    </row>
    <row r="21" spans="1:13" ht="18.75" customHeight="1">
      <c r="A21" s="292" t="str">
        <f t="shared" si="6"/>
        <v>NL</v>
      </c>
      <c r="B21" s="472">
        <f t="shared" ref="B21:B29" si="9">IF(C21&lt;&gt;"",B20+1,"")</f>
        <v>2</v>
      </c>
      <c r="C21" s="188" t="s">
        <v>536</v>
      </c>
      <c r="D21" s="295" t="s">
        <v>335</v>
      </c>
      <c r="E21" s="8"/>
      <c r="F21" s="8"/>
      <c r="G21" s="25">
        <f t="array" ref="G21">SUM(IF("1521"&amp;C21=KHN&amp;MH,SL))</f>
        <v>10202</v>
      </c>
      <c r="H21" s="25">
        <f t="array" ref="H21">SUM(IF("1521"&amp;C21=KHN&amp;MH,TH))</f>
        <v>90797800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10202</v>
      </c>
      <c r="L21" s="8">
        <f t="shared" si="8"/>
        <v>90797800</v>
      </c>
      <c r="M21" s="292"/>
    </row>
    <row r="22" spans="1:13" ht="18.75" customHeight="1">
      <c r="A22" s="292" t="str">
        <f t="shared" si="6"/>
        <v>NL</v>
      </c>
      <c r="B22" s="472">
        <f t="shared" si="9"/>
        <v>3</v>
      </c>
      <c r="C22" s="188" t="s">
        <v>537</v>
      </c>
      <c r="D22" s="295" t="s">
        <v>335</v>
      </c>
      <c r="E22" s="8"/>
      <c r="F22" s="8"/>
      <c r="G22" s="25">
        <f t="array" ref="G22">SUM(IF("1521"&amp;C22=KHN&amp;MH,SL))</f>
        <v>21716</v>
      </c>
      <c r="H22" s="25">
        <f t="array" ref="H22">SUM(IF("1521"&amp;C22=KHN&amp;MH,TH))</f>
        <v>184586000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21716</v>
      </c>
      <c r="L22" s="8">
        <f t="shared" si="8"/>
        <v>184586000</v>
      </c>
      <c r="M22" s="292"/>
    </row>
    <row r="23" spans="1:13" ht="18.75" customHeight="1">
      <c r="A23" s="292" t="str">
        <f t="shared" si="6"/>
        <v>NL</v>
      </c>
      <c r="B23" s="472">
        <f t="shared" si="9"/>
        <v>4</v>
      </c>
      <c r="C23" s="188" t="s">
        <v>492</v>
      </c>
      <c r="D23" s="295" t="s">
        <v>335</v>
      </c>
      <c r="E23" s="8"/>
      <c r="F23" s="8"/>
      <c r="G23" s="25">
        <f t="array" ref="G23">SUM(IF("1521"&amp;C23=KHN&amp;MH,SL))</f>
        <v>13252</v>
      </c>
      <c r="H23" s="25">
        <f t="array" ref="H23">SUM(IF("1521"&amp;C23=KHN&amp;MH,TH))</f>
        <v>112642000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13252</v>
      </c>
      <c r="L23" s="8">
        <f t="shared" si="8"/>
        <v>112642000</v>
      </c>
      <c r="M23" s="292"/>
    </row>
    <row r="24" spans="1:13" ht="18" customHeight="1">
      <c r="A24" s="292" t="str">
        <f t="shared" si="6"/>
        <v/>
      </c>
      <c r="B24" s="472" t="str">
        <f t="shared" si="9"/>
        <v/>
      </c>
      <c r="C24" s="188"/>
      <c r="D24" s="295" t="s">
        <v>335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292"/>
    </row>
    <row r="25" spans="1:13" ht="18" customHeight="1">
      <c r="A25" s="292" t="str">
        <f t="shared" si="6"/>
        <v/>
      </c>
      <c r="B25" s="472" t="str">
        <f t="shared" si="9"/>
        <v/>
      </c>
      <c r="C25" s="188"/>
      <c r="D25" s="295" t="s">
        <v>335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292"/>
    </row>
    <row r="26" spans="1:13" ht="18" customHeight="1">
      <c r="A26" s="292" t="str">
        <f t="shared" si="6"/>
        <v/>
      </c>
      <c r="B26" s="472" t="str">
        <f t="shared" si="9"/>
        <v/>
      </c>
      <c r="C26" s="188"/>
      <c r="D26" s="295" t="s">
        <v>335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292"/>
    </row>
    <row r="27" spans="1:13" ht="18" customHeight="1">
      <c r="A27" s="292" t="str">
        <f t="shared" si="6"/>
        <v/>
      </c>
      <c r="B27" s="472" t="str">
        <f t="shared" si="9"/>
        <v/>
      </c>
      <c r="C27" s="188"/>
      <c r="D27" s="295" t="s">
        <v>335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292"/>
    </row>
    <row r="28" spans="1:13" ht="18" customHeight="1">
      <c r="A28" s="292" t="str">
        <f t="shared" si="6"/>
        <v/>
      </c>
      <c r="B28" s="472" t="str">
        <f t="shared" si="9"/>
        <v/>
      </c>
      <c r="C28" s="188"/>
      <c r="D28" s="295" t="s">
        <v>335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292"/>
    </row>
    <row r="29" spans="1:13" ht="18" customHeight="1">
      <c r="A29" s="292" t="str">
        <f t="shared" si="6"/>
        <v/>
      </c>
      <c r="B29" s="472" t="str">
        <f t="shared" si="9"/>
        <v/>
      </c>
      <c r="C29" s="191"/>
      <c r="D29" s="295" t="s">
        <v>335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292"/>
    </row>
    <row r="30" spans="1:13" ht="19.5" customHeight="1">
      <c r="A30" s="292" t="str">
        <f t="shared" ref="A30:A31" si="10">IF(B30&lt;&gt;"","NL","")</f>
        <v/>
      </c>
      <c r="B30" s="293" t="str">
        <f>IF(C30&lt;&gt;"",#REF!+1,"")</f>
        <v/>
      </c>
      <c r="C30" s="301"/>
      <c r="D30" s="302"/>
      <c r="E30" s="303"/>
      <c r="F30" s="303"/>
      <c r="G30" s="303"/>
      <c r="H30" s="303"/>
      <c r="I30" s="303"/>
      <c r="J30" s="303"/>
      <c r="K30" s="8"/>
      <c r="L30" s="8"/>
      <c r="M30" s="292"/>
    </row>
    <row r="31" spans="1:13" ht="19.5" customHeight="1">
      <c r="A31" s="292" t="str">
        <f t="shared" si="10"/>
        <v/>
      </c>
      <c r="B31" s="291"/>
      <c r="C31" s="300" t="s">
        <v>338</v>
      </c>
      <c r="D31" s="291"/>
      <c r="E31" s="13">
        <f t="shared" ref="E31:L31" si="11">SUM(E20:E30)</f>
        <v>0</v>
      </c>
      <c r="F31" s="13">
        <f t="shared" si="11"/>
        <v>0</v>
      </c>
      <c r="G31" s="13">
        <f t="shared" si="11"/>
        <v>85070</v>
      </c>
      <c r="H31" s="13">
        <f t="shared" si="11"/>
        <v>690237000</v>
      </c>
      <c r="I31" s="13">
        <f t="shared" si="11"/>
        <v>0</v>
      </c>
      <c r="J31" s="13">
        <f t="shared" si="11"/>
        <v>0</v>
      </c>
      <c r="K31" s="13">
        <f t="shared" si="11"/>
        <v>85070</v>
      </c>
      <c r="L31" s="13">
        <f t="shared" si="11"/>
        <v>690237000</v>
      </c>
      <c r="M31" s="292"/>
    </row>
    <row r="32" spans="1:13" ht="19.5" customHeight="1">
      <c r="A32" s="292"/>
      <c r="B32" s="473"/>
      <c r="C32" s="474"/>
      <c r="D32" s="473"/>
      <c r="E32" s="475"/>
      <c r="F32" s="475">
        <f>F31-CDPS!C19</f>
        <v>0</v>
      </c>
      <c r="G32" s="475"/>
      <c r="H32" s="475">
        <f>H31-CDPS!E19</f>
        <v>0</v>
      </c>
      <c r="I32" s="475"/>
      <c r="J32" s="475">
        <f>J31-CDPS!F19</f>
        <v>0</v>
      </c>
      <c r="K32" s="475"/>
      <c r="L32" s="475">
        <f>L31-CDPS!G19</f>
        <v>0</v>
      </c>
      <c r="M32" s="292"/>
    </row>
    <row r="33" spans="1:13" ht="19.5" customHeight="1">
      <c r="A33" s="292" t="str">
        <f t="shared" ref="A33:A64" si="12">IF(B33&lt;&gt;"","TP","")</f>
        <v/>
      </c>
      <c r="B33" s="305" t="str">
        <f t="shared" ref="B33:B64" si="13">IF(C33&lt;&gt;"",B32+1,"")</f>
        <v/>
      </c>
      <c r="C33" s="188"/>
      <c r="D33" s="304"/>
      <c r="E33" s="25"/>
      <c r="F33" s="25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25">
        <f t="shared" ref="K33:K96" si="14">E33+G33-I33</f>
        <v>0</v>
      </c>
      <c r="L33" s="25">
        <f t="shared" ref="L33:L96" si="15">F33+H33-J33</f>
        <v>0</v>
      </c>
      <c r="M33" s="292"/>
    </row>
    <row r="34" spans="1:13" ht="19.5" customHeight="1">
      <c r="A34" s="292" t="str">
        <f t="shared" si="12"/>
        <v/>
      </c>
      <c r="B34" s="305" t="str">
        <f t="shared" si="13"/>
        <v/>
      </c>
      <c r="C34" s="191"/>
      <c r="D34" s="304"/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" customHeight="1">
      <c r="A35" s="292" t="str">
        <f t="shared" si="12"/>
        <v/>
      </c>
      <c r="B35" s="305" t="str">
        <f t="shared" si="13"/>
        <v/>
      </c>
      <c r="C35" s="191"/>
      <c r="D35" s="304"/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" customHeight="1">
      <c r="A36" s="292" t="str">
        <f t="shared" si="12"/>
        <v/>
      </c>
      <c r="B36" s="305" t="str">
        <f t="shared" si="13"/>
        <v/>
      </c>
      <c r="C36" s="191"/>
      <c r="D36" s="304"/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/>
      </c>
      <c r="B37" s="305" t="str">
        <f t="shared" si="13"/>
        <v/>
      </c>
      <c r="C37" s="191"/>
      <c r="D37" s="304"/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/>
      </c>
      <c r="B38" s="305" t="str">
        <f t="shared" si="13"/>
        <v/>
      </c>
      <c r="C38" s="191"/>
      <c r="D38" s="304"/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/>
      </c>
      <c r="B39" s="305" t="str">
        <f t="shared" si="13"/>
        <v/>
      </c>
      <c r="C39" s="191"/>
      <c r="D39" s="304"/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/>
      </c>
      <c r="B40" s="305" t="str">
        <f t="shared" si="13"/>
        <v/>
      </c>
      <c r="C40" s="191"/>
      <c r="D40" s="304"/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/>
      </c>
      <c r="B41" s="305" t="str">
        <f t="shared" si="13"/>
        <v/>
      </c>
      <c r="C41" s="191"/>
      <c r="D41" s="304"/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/>
      </c>
      <c r="B42" s="305" t="str">
        <f t="shared" si="13"/>
        <v/>
      </c>
      <c r="C42" s="191"/>
      <c r="D42" s="304"/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/>
      </c>
      <c r="B43" s="305" t="str">
        <f t="shared" si="13"/>
        <v/>
      </c>
      <c r="C43" s="191"/>
      <c r="D43" s="304"/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/>
      </c>
      <c r="B44" s="305" t="str">
        <f t="shared" si="13"/>
        <v/>
      </c>
      <c r="C44" s="188"/>
      <c r="D44" s="304"/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/>
      </c>
      <c r="B45" s="305" t="str">
        <f t="shared" si="13"/>
        <v/>
      </c>
      <c r="C45" s="39"/>
      <c r="D45" s="304"/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/>
      </c>
      <c r="B46" s="305" t="str">
        <f t="shared" si="13"/>
        <v/>
      </c>
      <c r="C46" s="39"/>
      <c r="D46" s="304"/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/>
      </c>
      <c r="B47" s="305" t="str">
        <f t="shared" si="13"/>
        <v/>
      </c>
      <c r="C47" s="188"/>
      <c r="D47" s="304"/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/>
      </c>
      <c r="B48" s="305" t="str">
        <f t="shared" si="13"/>
        <v/>
      </c>
      <c r="C48" s="188"/>
      <c r="D48" s="304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/>
      </c>
      <c r="B49" s="305" t="str">
        <f t="shared" si="13"/>
        <v/>
      </c>
      <c r="C49" s="191"/>
      <c r="D49" s="304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/>
      </c>
      <c r="B50" s="305" t="str">
        <f t="shared" si="13"/>
        <v/>
      </c>
      <c r="C50" s="39"/>
      <c r="D50" s="304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/>
      </c>
      <c r="B51" s="305" t="str">
        <f t="shared" si="13"/>
        <v/>
      </c>
      <c r="C51" s="191"/>
      <c r="D51" s="304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/>
      </c>
      <c r="B52" s="305" t="str">
        <f t="shared" si="13"/>
        <v/>
      </c>
      <c r="C52" s="191"/>
      <c r="D52" s="304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/>
      </c>
      <c r="B53" s="305" t="str">
        <f t="shared" si="13"/>
        <v/>
      </c>
      <c r="C53" s="191"/>
      <c r="D53" s="304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/>
      </c>
      <c r="B54" s="305" t="str">
        <f t="shared" si="13"/>
        <v/>
      </c>
      <c r="C54" s="191"/>
      <c r="D54" s="304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/>
      </c>
      <c r="B55" s="305" t="str">
        <f t="shared" si="13"/>
        <v/>
      </c>
      <c r="C55" s="188"/>
      <c r="D55" s="304"/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/>
      </c>
      <c r="B56" s="305" t="str">
        <f t="shared" si="13"/>
        <v/>
      </c>
      <c r="C56" s="188"/>
      <c r="D56" s="304"/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/>
      </c>
      <c r="B57" s="305" t="str">
        <f t="shared" si="13"/>
        <v/>
      </c>
      <c r="C57" s="191"/>
      <c r="D57" s="304"/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/>
      </c>
      <c r="B58" s="305" t="str">
        <f t="shared" si="13"/>
        <v/>
      </c>
      <c r="C58" s="191"/>
      <c r="D58" s="304"/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/>
      </c>
      <c r="B59" s="305" t="str">
        <f t="shared" si="13"/>
        <v/>
      </c>
      <c r="C59" s="188"/>
      <c r="D59" s="304"/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/>
      </c>
      <c r="B60" s="305" t="str">
        <f t="shared" si="13"/>
        <v/>
      </c>
      <c r="C60" s="188"/>
      <c r="D60" s="304"/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/>
      </c>
      <c r="B61" s="305" t="str">
        <f t="shared" si="13"/>
        <v/>
      </c>
      <c r="C61" s="191"/>
      <c r="D61" s="304"/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/>
      </c>
      <c r="B62" s="305" t="str">
        <f t="shared" si="13"/>
        <v/>
      </c>
      <c r="C62" s="191"/>
      <c r="D62" s="304"/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/>
      </c>
      <c r="B63" s="305" t="str">
        <f t="shared" si="13"/>
        <v/>
      </c>
      <c r="C63" s="191"/>
      <c r="D63" s="304"/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/>
      </c>
      <c r="B64" s="305" t="str">
        <f t="shared" si="13"/>
        <v/>
      </c>
      <c r="C64" s="188"/>
      <c r="D64" s="304"/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ref="A65:A84" si="16">IF(B65&lt;&gt;"","TP","")</f>
        <v/>
      </c>
      <c r="B65" s="305" t="str">
        <f t="shared" ref="B65:B84" si="17">IF(C65&lt;&gt;"",B64+1,"")</f>
        <v/>
      </c>
      <c r="C65" s="39"/>
      <c r="D65" s="304"/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6"/>
        <v/>
      </c>
      <c r="B66" s="305" t="str">
        <f t="shared" si="17"/>
        <v/>
      </c>
      <c r="C66" s="191"/>
      <c r="D66" s="304"/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6"/>
        <v/>
      </c>
      <c r="B67" s="305" t="str">
        <f t="shared" si="17"/>
        <v/>
      </c>
      <c r="C67" s="39"/>
      <c r="D67" s="304"/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6"/>
        <v/>
      </c>
      <c r="B68" s="305" t="str">
        <f t="shared" si="17"/>
        <v/>
      </c>
      <c r="C68" s="191"/>
      <c r="D68" s="304"/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6"/>
        <v/>
      </c>
      <c r="B69" s="305" t="str">
        <f t="shared" si="17"/>
        <v/>
      </c>
      <c r="C69" s="191"/>
      <c r="D69" s="304"/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6"/>
        <v/>
      </c>
      <c r="B70" s="305" t="str">
        <f t="shared" si="17"/>
        <v/>
      </c>
      <c r="C70" s="191"/>
      <c r="D70" s="304"/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6"/>
        <v/>
      </c>
      <c r="B71" s="305" t="str">
        <f t="shared" si="17"/>
        <v/>
      </c>
      <c r="C71" s="191"/>
      <c r="D71" s="304"/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6"/>
        <v/>
      </c>
      <c r="B72" s="305" t="str">
        <f t="shared" si="17"/>
        <v/>
      </c>
      <c r="C72" s="191"/>
      <c r="D72" s="304"/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6"/>
        <v/>
      </c>
      <c r="B73" s="305" t="str">
        <f t="shared" si="17"/>
        <v/>
      </c>
      <c r="C73" s="191"/>
      <c r="D73" s="304"/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6"/>
        <v/>
      </c>
      <c r="B74" s="305" t="str">
        <f t="shared" si="17"/>
        <v/>
      </c>
      <c r="C74" s="191"/>
      <c r="D74" s="304"/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.75" customHeight="1">
      <c r="A75" s="292" t="str">
        <f t="shared" si="16"/>
        <v/>
      </c>
      <c r="B75" s="305" t="str">
        <f t="shared" si="17"/>
        <v/>
      </c>
      <c r="C75" s="188"/>
      <c r="D75" s="304"/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.75" customHeight="1">
      <c r="A76" s="292" t="str">
        <f t="shared" si="16"/>
        <v/>
      </c>
      <c r="B76" s="305" t="str">
        <f t="shared" si="17"/>
        <v/>
      </c>
      <c r="C76" s="191"/>
      <c r="D76" s="304"/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6"/>
        <v/>
      </c>
      <c r="B77" s="305" t="str">
        <f t="shared" si="17"/>
        <v/>
      </c>
      <c r="C77" s="39"/>
      <c r="D77" s="304"/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6"/>
        <v/>
      </c>
      <c r="B78" s="305" t="str">
        <f t="shared" si="17"/>
        <v/>
      </c>
      <c r="C78" s="191"/>
      <c r="D78" s="304"/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6"/>
        <v/>
      </c>
      <c r="B79" s="305" t="str">
        <f t="shared" si="17"/>
        <v/>
      </c>
      <c r="C79" s="39"/>
      <c r="D79" s="304"/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" customHeight="1">
      <c r="A80" s="292" t="str">
        <f t="shared" si="16"/>
        <v/>
      </c>
      <c r="B80" s="305" t="str">
        <f t="shared" si="17"/>
        <v/>
      </c>
      <c r="C80" s="39"/>
      <c r="D80" s="304"/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" customHeight="1">
      <c r="A81" s="292" t="str">
        <f t="shared" si="16"/>
        <v/>
      </c>
      <c r="B81" s="305" t="str">
        <f t="shared" si="17"/>
        <v/>
      </c>
      <c r="C81" s="191"/>
      <c r="D81" s="304"/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6"/>
        <v/>
      </c>
      <c r="B82" s="305" t="str">
        <f t="shared" si="17"/>
        <v/>
      </c>
      <c r="C82" s="39"/>
      <c r="D82" s="304"/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6"/>
        <v/>
      </c>
      <c r="B83" s="305" t="str">
        <f t="shared" si="17"/>
        <v/>
      </c>
      <c r="C83" s="39"/>
      <c r="D83" s="304"/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6"/>
        <v/>
      </c>
      <c r="B84" s="305" t="str">
        <f t="shared" si="17"/>
        <v/>
      </c>
      <c r="C84" s="191"/>
      <c r="D84" s="304"/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ref="A85:A90" si="18">IF(B85&lt;&gt;"","TP","")</f>
        <v/>
      </c>
      <c r="B85" s="305" t="str">
        <f t="shared" ref="B85:B90" si="19">IF(C85&lt;&gt;"",B84+1,"")</f>
        <v/>
      </c>
      <c r="C85" s="191"/>
      <c r="D85" s="304"/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8"/>
        <v/>
      </c>
      <c r="B86" s="305" t="str">
        <f t="shared" si="19"/>
        <v/>
      </c>
      <c r="C86" s="191"/>
      <c r="D86" s="304"/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8"/>
        <v/>
      </c>
      <c r="B87" s="305" t="str">
        <f t="shared" si="19"/>
        <v/>
      </c>
      <c r="C87" s="39"/>
      <c r="D87" s="304"/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8"/>
        <v/>
      </c>
      <c r="B88" s="305" t="str">
        <f t="shared" si="19"/>
        <v/>
      </c>
      <c r="C88" s="191"/>
      <c r="D88" s="304"/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8"/>
        <v/>
      </c>
      <c r="B89" s="305" t="str">
        <f t="shared" si="19"/>
        <v/>
      </c>
      <c r="C89" s="191"/>
      <c r="D89" s="304"/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8"/>
        <v/>
      </c>
      <c r="B90" s="305" t="str">
        <f t="shared" si="19"/>
        <v/>
      </c>
      <c r="C90" s="191"/>
      <c r="D90" s="304"/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ref="A91:A122" si="20">IF(B91&lt;&gt;"","TP","")</f>
        <v/>
      </c>
      <c r="B91" s="305" t="str">
        <f t="shared" ref="B91:B122" si="21">IF(C91&lt;&gt;"",B90+1,"")</f>
        <v/>
      </c>
      <c r="C91" s="191"/>
      <c r="D91" s="304"/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8.75" customHeight="1">
      <c r="A92" s="292" t="str">
        <f t="shared" si="20"/>
        <v/>
      </c>
      <c r="B92" s="305" t="str">
        <f t="shared" si="21"/>
        <v/>
      </c>
      <c r="C92" s="191"/>
      <c r="D92" s="304"/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4"/>
        <v>0</v>
      </c>
      <c r="L92" s="8">
        <f t="shared" si="15"/>
        <v>0</v>
      </c>
      <c r="M92" s="292"/>
    </row>
    <row r="93" spans="1:13" ht="18.75" customHeight="1">
      <c r="A93" s="292" t="str">
        <f t="shared" si="20"/>
        <v/>
      </c>
      <c r="B93" s="305" t="str">
        <f t="shared" si="21"/>
        <v/>
      </c>
      <c r="C93" s="191"/>
      <c r="D93" s="304"/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4"/>
        <v>0</v>
      </c>
      <c r="L93" s="8">
        <f t="shared" si="15"/>
        <v>0</v>
      </c>
      <c r="M93" s="292"/>
    </row>
    <row r="94" spans="1:13" ht="18.75" customHeight="1">
      <c r="A94" s="292" t="str">
        <f t="shared" si="20"/>
        <v/>
      </c>
      <c r="B94" s="305" t="str">
        <f t="shared" si="21"/>
        <v/>
      </c>
      <c r="C94" s="188"/>
      <c r="D94" s="304"/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4"/>
        <v>0</v>
      </c>
      <c r="L94" s="8">
        <f t="shared" si="15"/>
        <v>0</v>
      </c>
      <c r="M94" s="292"/>
    </row>
    <row r="95" spans="1:13" ht="18.75" customHeight="1">
      <c r="A95" s="292" t="str">
        <f t="shared" si="20"/>
        <v/>
      </c>
      <c r="B95" s="305" t="str">
        <f t="shared" si="21"/>
        <v/>
      </c>
      <c r="C95" s="39"/>
      <c r="D95" s="304"/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4"/>
        <v>0</v>
      </c>
      <c r="L95" s="8">
        <f t="shared" si="15"/>
        <v>0</v>
      </c>
      <c r="M95" s="292"/>
    </row>
    <row r="96" spans="1:13" ht="18.75" customHeight="1">
      <c r="A96" s="292" t="str">
        <f t="shared" si="20"/>
        <v/>
      </c>
      <c r="B96" s="305" t="str">
        <f t="shared" si="21"/>
        <v/>
      </c>
      <c r="C96" s="188"/>
      <c r="D96" s="304"/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4"/>
        <v>0</v>
      </c>
      <c r="L96" s="8">
        <f t="shared" si="15"/>
        <v>0</v>
      </c>
      <c r="M96" s="292"/>
    </row>
    <row r="97" spans="1:13" ht="19.5" customHeight="1">
      <c r="A97" s="292" t="str">
        <f t="shared" si="20"/>
        <v/>
      </c>
      <c r="B97" s="305" t="str">
        <f t="shared" si="21"/>
        <v/>
      </c>
      <c r="C97" s="296"/>
      <c r="D97" s="304"/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ref="K97:K160" si="22">E97+G97-I97</f>
        <v>0</v>
      </c>
      <c r="L97" s="8">
        <f t="shared" ref="L97:L160" si="23">F97+H97-J97</f>
        <v>0</v>
      </c>
      <c r="M97" s="292"/>
    </row>
    <row r="98" spans="1:13" ht="19.5" customHeight="1">
      <c r="A98" s="292" t="str">
        <f t="shared" si="20"/>
        <v/>
      </c>
      <c r="B98" s="305" t="str">
        <f t="shared" si="21"/>
        <v/>
      </c>
      <c r="C98" s="191"/>
      <c r="D98" s="304"/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22"/>
        <v>0</v>
      </c>
      <c r="L98" s="8">
        <f t="shared" si="23"/>
        <v>0</v>
      </c>
      <c r="M98" s="292"/>
    </row>
    <row r="99" spans="1:13" ht="19.5" customHeight="1">
      <c r="A99" s="292" t="str">
        <f t="shared" si="20"/>
        <v/>
      </c>
      <c r="B99" s="305" t="str">
        <f t="shared" si="21"/>
        <v/>
      </c>
      <c r="C99" s="39"/>
      <c r="D99" s="304"/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22"/>
        <v>0</v>
      </c>
      <c r="L99" s="8">
        <f t="shared" si="23"/>
        <v>0</v>
      </c>
      <c r="M99" s="292"/>
    </row>
    <row r="100" spans="1:13" ht="19.5" customHeight="1">
      <c r="A100" s="292" t="str">
        <f t="shared" si="20"/>
        <v/>
      </c>
      <c r="B100" s="305" t="str">
        <f t="shared" si="21"/>
        <v/>
      </c>
      <c r="C100" s="188"/>
      <c r="D100" s="304"/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2"/>
        <v>0</v>
      </c>
      <c r="L100" s="8">
        <f t="shared" si="23"/>
        <v>0</v>
      </c>
      <c r="M100" s="292"/>
    </row>
    <row r="101" spans="1:13" ht="19.5" customHeight="1">
      <c r="A101" s="292" t="str">
        <f t="shared" si="20"/>
        <v/>
      </c>
      <c r="B101" s="305" t="str">
        <f t="shared" si="21"/>
        <v/>
      </c>
      <c r="C101" s="191"/>
      <c r="D101" s="304"/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2"/>
        <v>0</v>
      </c>
      <c r="L101" s="8">
        <f t="shared" si="23"/>
        <v>0</v>
      </c>
      <c r="M101" s="292"/>
    </row>
    <row r="102" spans="1:13" ht="19.5" customHeight="1">
      <c r="A102" s="292" t="str">
        <f t="shared" si="20"/>
        <v/>
      </c>
      <c r="B102" s="305" t="str">
        <f t="shared" si="21"/>
        <v/>
      </c>
      <c r="C102" s="39"/>
      <c r="D102" s="304"/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2"/>
        <v>0</v>
      </c>
      <c r="L102" s="8">
        <f t="shared" si="23"/>
        <v>0</v>
      </c>
      <c r="M102" s="292"/>
    </row>
    <row r="103" spans="1:13" ht="19.5" customHeight="1">
      <c r="A103" s="292" t="str">
        <f t="shared" si="20"/>
        <v/>
      </c>
      <c r="B103" s="305" t="str">
        <f t="shared" si="21"/>
        <v/>
      </c>
      <c r="C103" s="191"/>
      <c r="D103" s="304"/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2"/>
        <v>0</v>
      </c>
      <c r="L103" s="8">
        <f t="shared" si="23"/>
        <v>0</v>
      </c>
      <c r="M103" s="292"/>
    </row>
    <row r="104" spans="1:13" ht="19.5" customHeight="1">
      <c r="A104" s="292" t="str">
        <f t="shared" si="20"/>
        <v/>
      </c>
      <c r="B104" s="305" t="str">
        <f t="shared" si="21"/>
        <v/>
      </c>
      <c r="C104" s="191"/>
      <c r="D104" s="304"/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2"/>
        <v>0</v>
      </c>
      <c r="L104" s="8">
        <f t="shared" si="23"/>
        <v>0</v>
      </c>
      <c r="M104" s="292"/>
    </row>
    <row r="105" spans="1:13" ht="19.5" customHeight="1">
      <c r="A105" s="292" t="str">
        <f t="shared" si="20"/>
        <v/>
      </c>
      <c r="B105" s="305" t="str">
        <f t="shared" si="21"/>
        <v/>
      </c>
      <c r="C105" s="188"/>
      <c r="D105" s="304"/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2"/>
        <v>0</v>
      </c>
      <c r="L105" s="8">
        <f t="shared" si="23"/>
        <v>0</v>
      </c>
      <c r="M105" s="292"/>
    </row>
    <row r="106" spans="1:13" ht="19.5" customHeight="1">
      <c r="A106" s="292" t="str">
        <f t="shared" si="20"/>
        <v/>
      </c>
      <c r="B106" s="305" t="str">
        <f t="shared" si="21"/>
        <v/>
      </c>
      <c r="C106" s="191"/>
      <c r="D106" s="304"/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2"/>
        <v>0</v>
      </c>
      <c r="L106" s="8">
        <f t="shared" si="23"/>
        <v>0</v>
      </c>
      <c r="M106" s="292"/>
    </row>
    <row r="107" spans="1:13" ht="19.5" customHeight="1">
      <c r="A107" s="292" t="str">
        <f t="shared" si="20"/>
        <v/>
      </c>
      <c r="B107" s="305" t="str">
        <f t="shared" si="21"/>
        <v/>
      </c>
      <c r="C107" s="39"/>
      <c r="D107" s="304"/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2"/>
        <v>0</v>
      </c>
      <c r="L107" s="8">
        <f t="shared" si="23"/>
        <v>0</v>
      </c>
      <c r="M107" s="292"/>
    </row>
    <row r="108" spans="1:13" ht="19.5" customHeight="1">
      <c r="A108" s="292" t="str">
        <f t="shared" si="20"/>
        <v/>
      </c>
      <c r="B108" s="305" t="str">
        <f t="shared" si="21"/>
        <v/>
      </c>
      <c r="C108" s="39"/>
      <c r="D108" s="304"/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2"/>
        <v>0</v>
      </c>
      <c r="L108" s="8">
        <f t="shared" si="23"/>
        <v>0</v>
      </c>
      <c r="M108" s="292"/>
    </row>
    <row r="109" spans="1:13" ht="19.5" customHeight="1">
      <c r="A109" s="292" t="str">
        <f t="shared" si="20"/>
        <v/>
      </c>
      <c r="B109" s="305" t="str">
        <f t="shared" si="21"/>
        <v/>
      </c>
      <c r="C109" s="188"/>
      <c r="D109" s="304"/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2"/>
        <v>0</v>
      </c>
      <c r="L109" s="8">
        <f t="shared" si="23"/>
        <v>0</v>
      </c>
      <c r="M109" s="292"/>
    </row>
    <row r="110" spans="1:13" ht="19.5" customHeight="1">
      <c r="A110" s="292" t="str">
        <f t="shared" si="20"/>
        <v/>
      </c>
      <c r="B110" s="305" t="str">
        <f t="shared" si="21"/>
        <v/>
      </c>
      <c r="C110" s="188"/>
      <c r="D110" s="304"/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2"/>
        <v>0</v>
      </c>
      <c r="L110" s="8">
        <f t="shared" si="23"/>
        <v>0</v>
      </c>
      <c r="M110" s="292"/>
    </row>
    <row r="111" spans="1:13" ht="19.5" customHeight="1">
      <c r="A111" s="292" t="str">
        <f t="shared" si="20"/>
        <v/>
      </c>
      <c r="B111" s="305" t="str">
        <f t="shared" si="21"/>
        <v/>
      </c>
      <c r="C111" s="39"/>
      <c r="D111" s="304"/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2"/>
        <v>0</v>
      </c>
      <c r="L111" s="8">
        <f t="shared" si="23"/>
        <v>0</v>
      </c>
      <c r="M111" s="292"/>
    </row>
    <row r="112" spans="1:13" ht="19.5" customHeight="1">
      <c r="A112" s="292" t="str">
        <f t="shared" si="20"/>
        <v/>
      </c>
      <c r="B112" s="305" t="str">
        <f t="shared" si="21"/>
        <v/>
      </c>
      <c r="C112" s="191"/>
      <c r="D112" s="304"/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2"/>
        <v>0</v>
      </c>
      <c r="L112" s="8">
        <f t="shared" si="23"/>
        <v>0</v>
      </c>
      <c r="M112" s="292"/>
    </row>
    <row r="113" spans="1:13" ht="19.5" customHeight="1">
      <c r="A113" s="292" t="str">
        <f t="shared" si="20"/>
        <v/>
      </c>
      <c r="B113" s="305" t="str">
        <f t="shared" si="21"/>
        <v/>
      </c>
      <c r="C113" s="191"/>
      <c r="D113" s="304"/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2"/>
        <v>0</v>
      </c>
      <c r="L113" s="8">
        <f t="shared" si="23"/>
        <v>0</v>
      </c>
      <c r="M113" s="292"/>
    </row>
    <row r="114" spans="1:13" ht="19.5" customHeight="1">
      <c r="A114" s="292" t="str">
        <f t="shared" si="20"/>
        <v/>
      </c>
      <c r="B114" s="305" t="str">
        <f t="shared" si="21"/>
        <v/>
      </c>
      <c r="C114" s="39"/>
      <c r="D114" s="304"/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2"/>
        <v>0</v>
      </c>
      <c r="L114" s="8">
        <f t="shared" si="23"/>
        <v>0</v>
      </c>
      <c r="M114" s="292"/>
    </row>
    <row r="115" spans="1:13" ht="19.5" customHeight="1">
      <c r="A115" s="292" t="str">
        <f t="shared" si="20"/>
        <v/>
      </c>
      <c r="B115" s="305" t="str">
        <f t="shared" si="21"/>
        <v/>
      </c>
      <c r="C115" s="191"/>
      <c r="D115" s="304"/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2"/>
        <v>0</v>
      </c>
      <c r="L115" s="8">
        <f t="shared" si="23"/>
        <v>0</v>
      </c>
      <c r="M115" s="292"/>
    </row>
    <row r="116" spans="1:13" ht="19.5" customHeight="1">
      <c r="A116" s="292" t="str">
        <f t="shared" si="20"/>
        <v/>
      </c>
      <c r="B116" s="305" t="str">
        <f t="shared" si="21"/>
        <v/>
      </c>
      <c r="C116" s="191"/>
      <c r="D116" s="304"/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2"/>
        <v>0</v>
      </c>
      <c r="L116" s="8">
        <f t="shared" si="23"/>
        <v>0</v>
      </c>
      <c r="M116" s="292"/>
    </row>
    <row r="117" spans="1:13" ht="19.5" customHeight="1">
      <c r="A117" s="292" t="str">
        <f t="shared" si="20"/>
        <v/>
      </c>
      <c r="B117" s="305" t="str">
        <f t="shared" si="21"/>
        <v/>
      </c>
      <c r="C117" s="39"/>
      <c r="D117" s="304"/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2"/>
        <v>0</v>
      </c>
      <c r="L117" s="8">
        <f t="shared" si="23"/>
        <v>0</v>
      </c>
      <c r="M117" s="292"/>
    </row>
    <row r="118" spans="1:13" ht="19.5" customHeight="1">
      <c r="A118" s="292" t="str">
        <f t="shared" si="20"/>
        <v/>
      </c>
      <c r="B118" s="305" t="str">
        <f t="shared" si="21"/>
        <v/>
      </c>
      <c r="C118" s="191"/>
      <c r="D118" s="304"/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2"/>
        <v>0</v>
      </c>
      <c r="L118" s="8">
        <f t="shared" si="23"/>
        <v>0</v>
      </c>
      <c r="M118" s="292"/>
    </row>
    <row r="119" spans="1:13" ht="19.5" customHeight="1">
      <c r="A119" s="292" t="str">
        <f t="shared" si="20"/>
        <v/>
      </c>
      <c r="B119" s="305" t="str">
        <f t="shared" si="21"/>
        <v/>
      </c>
      <c r="C119" s="191"/>
      <c r="D119" s="304"/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2"/>
        <v>0</v>
      </c>
      <c r="L119" s="8">
        <f t="shared" si="23"/>
        <v>0</v>
      </c>
      <c r="M119" s="292"/>
    </row>
    <row r="120" spans="1:13" ht="19.5" customHeight="1">
      <c r="A120" s="292" t="str">
        <f t="shared" si="20"/>
        <v/>
      </c>
      <c r="B120" s="305" t="str">
        <f t="shared" si="21"/>
        <v/>
      </c>
      <c r="C120" s="296"/>
      <c r="D120" s="304"/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2"/>
        <v>0</v>
      </c>
      <c r="L120" s="8">
        <f t="shared" si="23"/>
        <v>0</v>
      </c>
      <c r="M120" s="292"/>
    </row>
    <row r="121" spans="1:13" ht="19.5" customHeight="1">
      <c r="A121" s="292" t="str">
        <f t="shared" si="20"/>
        <v/>
      </c>
      <c r="B121" s="305" t="str">
        <f t="shared" si="21"/>
        <v/>
      </c>
      <c r="C121" s="39"/>
      <c r="D121" s="304"/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2"/>
        <v>0</v>
      </c>
      <c r="L121" s="8">
        <f t="shared" si="23"/>
        <v>0</v>
      </c>
      <c r="M121" s="292"/>
    </row>
    <row r="122" spans="1:13" ht="19.5" customHeight="1">
      <c r="A122" s="292" t="str">
        <f t="shared" si="20"/>
        <v/>
      </c>
      <c r="B122" s="305" t="str">
        <f t="shared" si="21"/>
        <v/>
      </c>
      <c r="C122" s="191"/>
      <c r="D122" s="304"/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2"/>
        <v>0</v>
      </c>
      <c r="L122" s="8">
        <f t="shared" si="23"/>
        <v>0</v>
      </c>
      <c r="M122" s="292"/>
    </row>
    <row r="123" spans="1:13" ht="19.5" customHeight="1">
      <c r="A123" s="292" t="str">
        <f t="shared" ref="A123:A150" si="24">IF(B123&lt;&gt;"","TP","")</f>
        <v/>
      </c>
      <c r="B123" s="305" t="str">
        <f t="shared" ref="B123:B150" si="25">IF(C123&lt;&gt;"",B122+1,"")</f>
        <v/>
      </c>
      <c r="C123" s="39"/>
      <c r="D123" s="304"/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2"/>
        <v>0</v>
      </c>
      <c r="L123" s="8">
        <f t="shared" si="23"/>
        <v>0</v>
      </c>
      <c r="M123" s="292"/>
    </row>
    <row r="124" spans="1:13" ht="19.5" customHeight="1">
      <c r="A124" s="292" t="str">
        <f t="shared" si="24"/>
        <v/>
      </c>
      <c r="B124" s="305" t="str">
        <f t="shared" si="25"/>
        <v/>
      </c>
      <c r="C124" s="191"/>
      <c r="D124" s="304"/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2"/>
        <v>0</v>
      </c>
      <c r="L124" s="8">
        <f t="shared" si="23"/>
        <v>0</v>
      </c>
      <c r="M124" s="292"/>
    </row>
    <row r="125" spans="1:13" ht="19.5" customHeight="1">
      <c r="A125" s="292" t="str">
        <f t="shared" si="24"/>
        <v/>
      </c>
      <c r="B125" s="305" t="str">
        <f t="shared" si="25"/>
        <v/>
      </c>
      <c r="C125" s="191"/>
      <c r="D125" s="304"/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2"/>
        <v>0</v>
      </c>
      <c r="L125" s="8">
        <f t="shared" si="23"/>
        <v>0</v>
      </c>
      <c r="M125" s="292"/>
    </row>
    <row r="126" spans="1:13" ht="19.5" customHeight="1">
      <c r="A126" s="292" t="str">
        <f t="shared" si="24"/>
        <v/>
      </c>
      <c r="B126" s="305" t="str">
        <f t="shared" si="25"/>
        <v/>
      </c>
      <c r="C126" s="191"/>
      <c r="D126" s="304"/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2"/>
        <v>0</v>
      </c>
      <c r="L126" s="8">
        <f t="shared" si="23"/>
        <v>0</v>
      </c>
      <c r="M126" s="292"/>
    </row>
    <row r="127" spans="1:13" ht="19.5" customHeight="1">
      <c r="A127" s="292" t="str">
        <f t="shared" si="24"/>
        <v/>
      </c>
      <c r="B127" s="305" t="str">
        <f t="shared" si="25"/>
        <v/>
      </c>
      <c r="C127" s="39"/>
      <c r="D127" s="304"/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2"/>
        <v>0</v>
      </c>
      <c r="L127" s="8">
        <f t="shared" si="23"/>
        <v>0</v>
      </c>
      <c r="M127" s="292"/>
    </row>
    <row r="128" spans="1:13" ht="19.5" customHeight="1">
      <c r="A128" s="292" t="str">
        <f t="shared" si="24"/>
        <v/>
      </c>
      <c r="B128" s="305" t="str">
        <f t="shared" si="25"/>
        <v/>
      </c>
      <c r="C128" s="191"/>
      <c r="D128" s="304"/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2"/>
        <v>0</v>
      </c>
      <c r="L128" s="8">
        <f t="shared" si="23"/>
        <v>0</v>
      </c>
      <c r="M128" s="292"/>
    </row>
    <row r="129" spans="1:13" ht="19.5" customHeight="1">
      <c r="A129" s="292" t="str">
        <f t="shared" si="24"/>
        <v/>
      </c>
      <c r="B129" s="305" t="str">
        <f t="shared" si="25"/>
        <v/>
      </c>
      <c r="C129" s="188"/>
      <c r="D129" s="304"/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2"/>
        <v>0</v>
      </c>
      <c r="L129" s="8">
        <f t="shared" si="23"/>
        <v>0</v>
      </c>
      <c r="M129" s="292"/>
    </row>
    <row r="130" spans="1:13" ht="19.5" customHeight="1">
      <c r="A130" s="292" t="str">
        <f t="shared" si="24"/>
        <v/>
      </c>
      <c r="B130" s="305" t="str">
        <f t="shared" si="25"/>
        <v/>
      </c>
      <c r="C130" s="191"/>
      <c r="D130" s="304"/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2"/>
        <v>0</v>
      </c>
      <c r="L130" s="8">
        <f t="shared" si="23"/>
        <v>0</v>
      </c>
      <c r="M130" s="292"/>
    </row>
    <row r="131" spans="1:13" ht="19.5" customHeight="1">
      <c r="A131" s="292" t="str">
        <f t="shared" si="24"/>
        <v/>
      </c>
      <c r="B131" s="305" t="str">
        <f t="shared" si="25"/>
        <v/>
      </c>
      <c r="C131" s="188"/>
      <c r="D131" s="304"/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2"/>
        <v>0</v>
      </c>
      <c r="L131" s="8">
        <f t="shared" si="23"/>
        <v>0</v>
      </c>
      <c r="M131" s="292"/>
    </row>
    <row r="132" spans="1:13" ht="19.5" customHeight="1">
      <c r="A132" s="292" t="str">
        <f t="shared" si="24"/>
        <v/>
      </c>
      <c r="B132" s="305" t="str">
        <f t="shared" si="25"/>
        <v/>
      </c>
      <c r="C132" s="191"/>
      <c r="D132" s="304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2"/>
        <v>0</v>
      </c>
      <c r="L132" s="8">
        <f t="shared" si="23"/>
        <v>0</v>
      </c>
      <c r="M132" s="292"/>
    </row>
    <row r="133" spans="1:13" ht="19.5" customHeight="1">
      <c r="A133" s="292" t="str">
        <f t="shared" si="24"/>
        <v/>
      </c>
      <c r="B133" s="305" t="str">
        <f t="shared" si="25"/>
        <v/>
      </c>
      <c r="C133" s="191"/>
      <c r="D133" s="304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2"/>
        <v>0</v>
      </c>
      <c r="L133" s="8">
        <f t="shared" si="23"/>
        <v>0</v>
      </c>
      <c r="M133" s="292"/>
    </row>
    <row r="134" spans="1:13" ht="19.5" customHeight="1">
      <c r="A134" s="292" t="str">
        <f t="shared" si="24"/>
        <v/>
      </c>
      <c r="B134" s="305" t="str">
        <f t="shared" si="25"/>
        <v/>
      </c>
      <c r="C134" s="39"/>
      <c r="D134" s="304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2"/>
        <v>0</v>
      </c>
      <c r="L134" s="8">
        <f t="shared" si="23"/>
        <v>0</v>
      </c>
      <c r="M134" s="292"/>
    </row>
    <row r="135" spans="1:13" ht="19.5" customHeight="1">
      <c r="A135" s="292" t="str">
        <f t="shared" si="24"/>
        <v/>
      </c>
      <c r="B135" s="305" t="str">
        <f t="shared" si="25"/>
        <v/>
      </c>
      <c r="C135" s="191"/>
      <c r="D135" s="304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2"/>
        <v>0</v>
      </c>
      <c r="L135" s="8">
        <f t="shared" si="23"/>
        <v>0</v>
      </c>
      <c r="M135" s="292"/>
    </row>
    <row r="136" spans="1:13" ht="19.5" customHeight="1">
      <c r="A136" s="292" t="str">
        <f t="shared" si="24"/>
        <v/>
      </c>
      <c r="B136" s="305" t="str">
        <f t="shared" si="25"/>
        <v/>
      </c>
      <c r="C136" s="191"/>
      <c r="D136" s="304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2"/>
        <v>0</v>
      </c>
      <c r="L136" s="8">
        <f t="shared" si="23"/>
        <v>0</v>
      </c>
      <c r="M136" s="292"/>
    </row>
    <row r="137" spans="1:13" ht="19.5" customHeight="1">
      <c r="A137" s="292" t="str">
        <f t="shared" si="24"/>
        <v/>
      </c>
      <c r="B137" s="305" t="str">
        <f t="shared" si="25"/>
        <v/>
      </c>
      <c r="C137" s="39"/>
      <c r="D137" s="304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2"/>
        <v>0</v>
      </c>
      <c r="L137" s="8">
        <f t="shared" si="23"/>
        <v>0</v>
      </c>
      <c r="M137" s="292"/>
    </row>
    <row r="138" spans="1:13" ht="19.5" customHeight="1">
      <c r="A138" s="292" t="str">
        <f t="shared" si="24"/>
        <v/>
      </c>
      <c r="B138" s="305" t="str">
        <f t="shared" si="25"/>
        <v/>
      </c>
      <c r="C138" s="191"/>
      <c r="D138" s="304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2"/>
        <v>0</v>
      </c>
      <c r="L138" s="8">
        <f t="shared" si="23"/>
        <v>0</v>
      </c>
      <c r="M138" s="292"/>
    </row>
    <row r="139" spans="1:13" ht="19.5" customHeight="1">
      <c r="A139" s="292" t="str">
        <f t="shared" si="24"/>
        <v/>
      </c>
      <c r="B139" s="305" t="str">
        <f t="shared" si="25"/>
        <v/>
      </c>
      <c r="C139" s="191"/>
      <c r="D139" s="304"/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2"/>
        <v>0</v>
      </c>
      <c r="L139" s="8">
        <f t="shared" si="23"/>
        <v>0</v>
      </c>
      <c r="M139" s="292"/>
    </row>
    <row r="140" spans="1:13" ht="19.5" customHeight="1">
      <c r="A140" s="292" t="str">
        <f t="shared" si="24"/>
        <v/>
      </c>
      <c r="B140" s="305" t="str">
        <f t="shared" si="25"/>
        <v/>
      </c>
      <c r="C140" s="191"/>
      <c r="D140" s="304"/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2"/>
        <v>0</v>
      </c>
      <c r="L140" s="8">
        <f t="shared" si="23"/>
        <v>0</v>
      </c>
      <c r="M140" s="292"/>
    </row>
    <row r="141" spans="1:13" ht="19.5" customHeight="1">
      <c r="A141" s="292" t="str">
        <f t="shared" si="24"/>
        <v/>
      </c>
      <c r="B141" s="305" t="str">
        <f t="shared" si="25"/>
        <v/>
      </c>
      <c r="C141" s="188"/>
      <c r="D141" s="304"/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2"/>
        <v>0</v>
      </c>
      <c r="L141" s="8">
        <f t="shared" si="23"/>
        <v>0</v>
      </c>
      <c r="M141" s="292"/>
    </row>
    <row r="142" spans="1:13" ht="19.5" customHeight="1">
      <c r="A142" s="292" t="str">
        <f t="shared" si="24"/>
        <v/>
      </c>
      <c r="B142" s="305" t="str">
        <f t="shared" si="25"/>
        <v/>
      </c>
      <c r="C142" s="188"/>
      <c r="D142" s="304"/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2"/>
        <v>0</v>
      </c>
      <c r="L142" s="8">
        <f t="shared" si="23"/>
        <v>0</v>
      </c>
      <c r="M142" s="292"/>
    </row>
    <row r="143" spans="1:13" ht="19.5" customHeight="1">
      <c r="A143" s="292" t="str">
        <f t="shared" si="24"/>
        <v/>
      </c>
      <c r="B143" s="305" t="str">
        <f t="shared" si="25"/>
        <v/>
      </c>
      <c r="C143" s="188"/>
      <c r="D143" s="304"/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2"/>
        <v>0</v>
      </c>
      <c r="L143" s="8">
        <f t="shared" si="23"/>
        <v>0</v>
      </c>
      <c r="M143" s="292"/>
    </row>
    <row r="144" spans="1:13" ht="19.5" customHeight="1">
      <c r="A144" s="292" t="str">
        <f t="shared" si="24"/>
        <v/>
      </c>
      <c r="B144" s="305" t="str">
        <f t="shared" si="25"/>
        <v/>
      </c>
      <c r="C144" s="191"/>
      <c r="D144" s="304"/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2"/>
        <v>0</v>
      </c>
      <c r="L144" s="8">
        <f t="shared" si="23"/>
        <v>0</v>
      </c>
      <c r="M144" s="292"/>
    </row>
    <row r="145" spans="1:13" ht="19.5" customHeight="1">
      <c r="A145" s="292" t="str">
        <f t="shared" si="24"/>
        <v/>
      </c>
      <c r="B145" s="305" t="str">
        <f t="shared" si="25"/>
        <v/>
      </c>
      <c r="C145" s="191"/>
      <c r="D145" s="304"/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2"/>
        <v>0</v>
      </c>
      <c r="L145" s="8">
        <f t="shared" si="23"/>
        <v>0</v>
      </c>
      <c r="M145" s="292"/>
    </row>
    <row r="146" spans="1:13" ht="19.5" customHeight="1">
      <c r="A146" s="292" t="str">
        <f t="shared" si="24"/>
        <v/>
      </c>
      <c r="B146" s="305" t="str">
        <f t="shared" si="25"/>
        <v/>
      </c>
      <c r="C146" s="191"/>
      <c r="D146" s="304"/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2"/>
        <v>0</v>
      </c>
      <c r="L146" s="8">
        <f t="shared" si="23"/>
        <v>0</v>
      </c>
      <c r="M146" s="292"/>
    </row>
    <row r="147" spans="1:13" ht="19.5" customHeight="1">
      <c r="A147" s="292" t="str">
        <f t="shared" si="24"/>
        <v/>
      </c>
      <c r="B147" s="305" t="str">
        <f t="shared" si="25"/>
        <v/>
      </c>
      <c r="C147" s="188"/>
      <c r="D147" s="304"/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2"/>
        <v>0</v>
      </c>
      <c r="L147" s="8">
        <f t="shared" si="23"/>
        <v>0</v>
      </c>
      <c r="M147" s="292"/>
    </row>
    <row r="148" spans="1:13" ht="19.5" customHeight="1">
      <c r="A148" s="292" t="str">
        <f t="shared" si="24"/>
        <v/>
      </c>
      <c r="B148" s="305" t="str">
        <f t="shared" si="25"/>
        <v/>
      </c>
      <c r="C148" s="191"/>
      <c r="D148" s="304"/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2"/>
        <v>0</v>
      </c>
      <c r="L148" s="8">
        <f t="shared" si="23"/>
        <v>0</v>
      </c>
      <c r="M148" s="292"/>
    </row>
    <row r="149" spans="1:13" ht="19.5" customHeight="1">
      <c r="A149" s="292" t="str">
        <f t="shared" si="24"/>
        <v/>
      </c>
      <c r="B149" s="305" t="str">
        <f t="shared" si="25"/>
        <v/>
      </c>
      <c r="C149" s="39"/>
      <c r="D149" s="304"/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2"/>
        <v>0</v>
      </c>
      <c r="L149" s="8">
        <f t="shared" si="23"/>
        <v>0</v>
      </c>
      <c r="M149" s="292"/>
    </row>
    <row r="150" spans="1:13" ht="19.5" customHeight="1">
      <c r="A150" s="292" t="str">
        <f t="shared" si="24"/>
        <v/>
      </c>
      <c r="B150" s="305" t="str">
        <f t="shared" si="25"/>
        <v/>
      </c>
      <c r="C150" s="39"/>
      <c r="D150" s="304"/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2"/>
        <v>0</v>
      </c>
      <c r="L150" s="8">
        <f t="shared" si="23"/>
        <v>0</v>
      </c>
      <c r="M150" s="292"/>
    </row>
    <row r="151" spans="1:13" ht="19.5" customHeight="1">
      <c r="A151" s="292" t="str">
        <f t="shared" ref="A151:A159" si="26">IF(B151&lt;&gt;"","TP","")</f>
        <v/>
      </c>
      <c r="B151" s="305" t="str">
        <f t="shared" ref="B151:B159" si="27">IF(C151&lt;&gt;"",B150+1,"")</f>
        <v/>
      </c>
      <c r="C151" s="191"/>
      <c r="D151" s="304"/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2"/>
        <v>0</v>
      </c>
      <c r="L151" s="8">
        <f t="shared" si="23"/>
        <v>0</v>
      </c>
      <c r="M151" s="292"/>
    </row>
    <row r="152" spans="1:13" ht="19.5" customHeight="1">
      <c r="A152" s="292" t="str">
        <f t="shared" si="26"/>
        <v/>
      </c>
      <c r="B152" s="305" t="str">
        <f t="shared" si="27"/>
        <v/>
      </c>
      <c r="C152" s="191"/>
      <c r="D152" s="304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2"/>
        <v>0</v>
      </c>
      <c r="L152" s="8">
        <f t="shared" si="23"/>
        <v>0</v>
      </c>
      <c r="M152" s="292"/>
    </row>
    <row r="153" spans="1:13" ht="19.5" customHeight="1">
      <c r="A153" s="292" t="str">
        <f t="shared" si="26"/>
        <v/>
      </c>
      <c r="B153" s="305" t="str">
        <f t="shared" si="27"/>
        <v/>
      </c>
      <c r="C153" s="188"/>
      <c r="D153" s="304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2"/>
        <v>0</v>
      </c>
      <c r="L153" s="8">
        <f t="shared" si="23"/>
        <v>0</v>
      </c>
      <c r="M153" s="292"/>
    </row>
    <row r="154" spans="1:13" ht="19.5" customHeight="1">
      <c r="A154" s="292" t="str">
        <f t="shared" si="26"/>
        <v/>
      </c>
      <c r="B154" s="305" t="str">
        <f t="shared" si="27"/>
        <v/>
      </c>
      <c r="C154" s="39"/>
      <c r="D154" s="304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2"/>
        <v>0</v>
      </c>
      <c r="L154" s="8">
        <f t="shared" si="23"/>
        <v>0</v>
      </c>
      <c r="M154" s="292"/>
    </row>
    <row r="155" spans="1:13" ht="19.5" customHeight="1">
      <c r="A155" s="292" t="str">
        <f t="shared" si="26"/>
        <v/>
      </c>
      <c r="B155" s="305" t="str">
        <f t="shared" si="27"/>
        <v/>
      </c>
      <c r="C155" s="39"/>
      <c r="D155" s="304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2"/>
        <v>0</v>
      </c>
      <c r="L155" s="8">
        <f t="shared" si="23"/>
        <v>0</v>
      </c>
      <c r="M155" s="292"/>
    </row>
    <row r="156" spans="1:13" ht="19.5" customHeight="1">
      <c r="A156" s="292" t="str">
        <f t="shared" si="26"/>
        <v/>
      </c>
      <c r="B156" s="305" t="str">
        <f t="shared" si="27"/>
        <v/>
      </c>
      <c r="C156" s="39"/>
      <c r="D156" s="304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2"/>
        <v>0</v>
      </c>
      <c r="L156" s="8">
        <f t="shared" si="23"/>
        <v>0</v>
      </c>
      <c r="M156" s="292"/>
    </row>
    <row r="157" spans="1:13" ht="19.5" customHeight="1">
      <c r="A157" s="292" t="str">
        <f t="shared" si="26"/>
        <v/>
      </c>
      <c r="B157" s="305" t="str">
        <f t="shared" si="27"/>
        <v/>
      </c>
      <c r="C157" s="191"/>
      <c r="D157" s="304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6"/>
        <v/>
      </c>
      <c r="B158" s="305" t="str">
        <f t="shared" si="27"/>
        <v/>
      </c>
      <c r="C158" s="39"/>
      <c r="D158" s="304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6"/>
        <v/>
      </c>
      <c r="B159" s="305" t="str">
        <f t="shared" si="27"/>
        <v/>
      </c>
      <c r="C159" s="39"/>
      <c r="D159" s="304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ref="A160:A191" si="28">IF(B160&lt;&gt;"","TP","")</f>
        <v/>
      </c>
      <c r="B160" s="305" t="str">
        <f t="shared" ref="B160:B191" si="29">IF(C160&lt;&gt;"",B159+1,"")</f>
        <v/>
      </c>
      <c r="C160" s="39"/>
      <c r="D160" s="304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8"/>
        <v/>
      </c>
      <c r="B161" s="305" t="str">
        <f t="shared" si="29"/>
        <v/>
      </c>
      <c r="C161" s="191"/>
      <c r="D161" s="304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ref="K161:K215" si="30">E161+G161-I161</f>
        <v>0</v>
      </c>
      <c r="L161" s="8">
        <f t="shared" ref="L161:L215" si="31">F161+H161-J161</f>
        <v>0</v>
      </c>
      <c r="M161" s="292"/>
    </row>
    <row r="162" spans="1:13" ht="19.5" customHeight="1">
      <c r="A162" s="292" t="str">
        <f t="shared" si="28"/>
        <v/>
      </c>
      <c r="B162" s="305" t="str">
        <f t="shared" si="29"/>
        <v/>
      </c>
      <c r="C162" s="39"/>
      <c r="D162" s="304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30"/>
        <v>0</v>
      </c>
      <c r="L162" s="8">
        <f t="shared" si="31"/>
        <v>0</v>
      </c>
      <c r="M162" s="292"/>
    </row>
    <row r="163" spans="1:13" ht="19.5" customHeight="1">
      <c r="A163" s="292" t="str">
        <f t="shared" si="28"/>
        <v/>
      </c>
      <c r="B163" s="305" t="str">
        <f t="shared" si="29"/>
        <v/>
      </c>
      <c r="C163" s="191"/>
      <c r="D163" s="304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30"/>
        <v>0</v>
      </c>
      <c r="L163" s="8">
        <f t="shared" si="31"/>
        <v>0</v>
      </c>
      <c r="M163" s="292"/>
    </row>
    <row r="164" spans="1:13" ht="19.5" customHeight="1">
      <c r="A164" s="292" t="str">
        <f t="shared" si="28"/>
        <v/>
      </c>
      <c r="B164" s="305" t="str">
        <f t="shared" si="29"/>
        <v/>
      </c>
      <c r="C164" s="191"/>
      <c r="D164" s="304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30"/>
        <v>0</v>
      </c>
      <c r="L164" s="8">
        <f t="shared" si="31"/>
        <v>0</v>
      </c>
      <c r="M164" s="292"/>
    </row>
    <row r="165" spans="1:13" ht="19.5" customHeight="1">
      <c r="A165" s="292" t="str">
        <f t="shared" si="28"/>
        <v/>
      </c>
      <c r="B165" s="305" t="str">
        <f t="shared" si="29"/>
        <v/>
      </c>
      <c r="C165" s="191"/>
      <c r="D165" s="304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30"/>
        <v>0</v>
      </c>
      <c r="L165" s="8">
        <f t="shared" si="31"/>
        <v>0</v>
      </c>
      <c r="M165" s="292"/>
    </row>
    <row r="166" spans="1:13" ht="19.5" customHeight="1">
      <c r="A166" s="292" t="str">
        <f t="shared" si="28"/>
        <v/>
      </c>
      <c r="B166" s="305" t="str">
        <f t="shared" si="29"/>
        <v/>
      </c>
      <c r="C166" s="188"/>
      <c r="D166" s="304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30"/>
        <v>0</v>
      </c>
      <c r="L166" s="8">
        <f t="shared" si="31"/>
        <v>0</v>
      </c>
      <c r="M166" s="292"/>
    </row>
    <row r="167" spans="1:13" ht="19.5" customHeight="1">
      <c r="A167" s="292" t="str">
        <f t="shared" si="28"/>
        <v/>
      </c>
      <c r="B167" s="305" t="str">
        <f t="shared" si="29"/>
        <v/>
      </c>
      <c r="C167" s="191"/>
      <c r="D167" s="304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30"/>
        <v>0</v>
      </c>
      <c r="L167" s="8">
        <f t="shared" si="31"/>
        <v>0</v>
      </c>
      <c r="M167" s="292"/>
    </row>
    <row r="168" spans="1:13" ht="19.5" customHeight="1">
      <c r="A168" s="292" t="str">
        <f t="shared" si="28"/>
        <v/>
      </c>
      <c r="B168" s="305" t="str">
        <f t="shared" si="29"/>
        <v/>
      </c>
      <c r="C168" s="191"/>
      <c r="D168" s="304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30"/>
        <v>0</v>
      </c>
      <c r="L168" s="8">
        <f t="shared" si="31"/>
        <v>0</v>
      </c>
      <c r="M168" s="292"/>
    </row>
    <row r="169" spans="1:13" ht="19.5" customHeight="1">
      <c r="A169" s="292" t="str">
        <f t="shared" si="28"/>
        <v/>
      </c>
      <c r="B169" s="305" t="str">
        <f t="shared" si="29"/>
        <v/>
      </c>
      <c r="C169" s="191"/>
      <c r="D169" s="304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30"/>
        <v>0</v>
      </c>
      <c r="L169" s="8">
        <f t="shared" si="31"/>
        <v>0</v>
      </c>
      <c r="M169" s="292"/>
    </row>
    <row r="170" spans="1:13" ht="19.5" customHeight="1">
      <c r="A170" s="292" t="str">
        <f t="shared" si="28"/>
        <v/>
      </c>
      <c r="B170" s="305" t="str">
        <f t="shared" si="29"/>
        <v/>
      </c>
      <c r="C170" s="191"/>
      <c r="D170" s="304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30"/>
        <v>0</v>
      </c>
      <c r="L170" s="8">
        <f t="shared" si="31"/>
        <v>0</v>
      </c>
      <c r="M170" s="292"/>
    </row>
    <row r="171" spans="1:13" ht="19.5" customHeight="1">
      <c r="A171" s="292" t="str">
        <f t="shared" si="28"/>
        <v/>
      </c>
      <c r="B171" s="305" t="str">
        <f t="shared" si="29"/>
        <v/>
      </c>
      <c r="C171" s="191"/>
      <c r="D171" s="304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30"/>
        <v>0</v>
      </c>
      <c r="L171" s="8">
        <f t="shared" si="31"/>
        <v>0</v>
      </c>
      <c r="M171" s="292"/>
    </row>
    <row r="172" spans="1:13" ht="19.5" customHeight="1">
      <c r="A172" s="292" t="str">
        <f t="shared" si="28"/>
        <v/>
      </c>
      <c r="B172" s="305" t="str">
        <f t="shared" si="29"/>
        <v/>
      </c>
      <c r="C172" s="191"/>
      <c r="D172" s="304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30"/>
        <v>0</v>
      </c>
      <c r="L172" s="8">
        <f t="shared" si="31"/>
        <v>0</v>
      </c>
      <c r="M172" s="292"/>
    </row>
    <row r="173" spans="1:13" ht="19.5" customHeight="1">
      <c r="A173" s="292" t="str">
        <f t="shared" si="28"/>
        <v/>
      </c>
      <c r="B173" s="305" t="str">
        <f t="shared" si="29"/>
        <v/>
      </c>
      <c r="C173" s="188"/>
      <c r="D173" s="304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30"/>
        <v>0</v>
      </c>
      <c r="L173" s="8">
        <f t="shared" si="31"/>
        <v>0</v>
      </c>
      <c r="M173" s="292"/>
    </row>
    <row r="174" spans="1:13" ht="19.5" customHeight="1">
      <c r="A174" s="292" t="str">
        <f t="shared" si="28"/>
        <v/>
      </c>
      <c r="B174" s="305" t="str">
        <f t="shared" si="29"/>
        <v/>
      </c>
      <c r="C174" s="39"/>
      <c r="D174" s="304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30"/>
        <v>0</v>
      </c>
      <c r="L174" s="8">
        <f t="shared" si="31"/>
        <v>0</v>
      </c>
      <c r="M174" s="292"/>
    </row>
    <row r="175" spans="1:13" ht="19.5" customHeight="1">
      <c r="A175" s="292" t="str">
        <f t="shared" si="28"/>
        <v/>
      </c>
      <c r="B175" s="305" t="str">
        <f t="shared" si="29"/>
        <v/>
      </c>
      <c r="C175" s="39"/>
      <c r="D175" s="304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30"/>
        <v>0</v>
      </c>
      <c r="L175" s="8">
        <f t="shared" si="31"/>
        <v>0</v>
      </c>
      <c r="M175" s="292"/>
    </row>
    <row r="176" spans="1:13" ht="19.5" customHeight="1">
      <c r="A176" s="292" t="str">
        <f t="shared" si="28"/>
        <v/>
      </c>
      <c r="B176" s="305" t="str">
        <f t="shared" si="29"/>
        <v/>
      </c>
      <c r="C176" s="39"/>
      <c r="D176" s="304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30"/>
        <v>0</v>
      </c>
      <c r="L176" s="8">
        <f t="shared" si="31"/>
        <v>0</v>
      </c>
      <c r="M176" s="292"/>
    </row>
    <row r="177" spans="1:13" ht="19.5" customHeight="1">
      <c r="A177" s="292" t="str">
        <f t="shared" si="28"/>
        <v/>
      </c>
      <c r="B177" s="305" t="str">
        <f t="shared" si="29"/>
        <v/>
      </c>
      <c r="C177" s="188"/>
      <c r="D177" s="304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30"/>
        <v>0</v>
      </c>
      <c r="L177" s="8">
        <f t="shared" si="31"/>
        <v>0</v>
      </c>
      <c r="M177" s="292"/>
    </row>
    <row r="178" spans="1:13" ht="19.5" customHeight="1">
      <c r="A178" s="292" t="str">
        <f t="shared" si="28"/>
        <v/>
      </c>
      <c r="B178" s="305" t="str">
        <f t="shared" si="29"/>
        <v/>
      </c>
      <c r="C178" s="39"/>
      <c r="D178" s="304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30"/>
        <v>0</v>
      </c>
      <c r="L178" s="8">
        <f t="shared" si="31"/>
        <v>0</v>
      </c>
      <c r="M178" s="292"/>
    </row>
    <row r="179" spans="1:13" ht="19.5" customHeight="1">
      <c r="A179" s="292" t="str">
        <f t="shared" si="28"/>
        <v/>
      </c>
      <c r="B179" s="305" t="str">
        <f t="shared" si="29"/>
        <v/>
      </c>
      <c r="C179" s="191"/>
      <c r="D179" s="304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30"/>
        <v>0</v>
      </c>
      <c r="L179" s="8">
        <f t="shared" si="31"/>
        <v>0</v>
      </c>
      <c r="M179" s="292"/>
    </row>
    <row r="180" spans="1:13" ht="19.5" customHeight="1">
      <c r="A180" s="292" t="str">
        <f t="shared" si="28"/>
        <v/>
      </c>
      <c r="B180" s="305" t="str">
        <f t="shared" si="29"/>
        <v/>
      </c>
      <c r="C180" s="191"/>
      <c r="D180" s="304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30"/>
        <v>0</v>
      </c>
      <c r="L180" s="8">
        <f t="shared" si="31"/>
        <v>0</v>
      </c>
      <c r="M180" s="292"/>
    </row>
    <row r="181" spans="1:13" ht="19.5" customHeight="1">
      <c r="A181" s="292" t="str">
        <f t="shared" si="28"/>
        <v/>
      </c>
      <c r="B181" s="305" t="str">
        <f t="shared" si="29"/>
        <v/>
      </c>
      <c r="C181" s="39"/>
      <c r="D181" s="304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30"/>
        <v>0</v>
      </c>
      <c r="L181" s="8">
        <f t="shared" si="31"/>
        <v>0</v>
      </c>
      <c r="M181" s="292"/>
    </row>
    <row r="182" spans="1:13" ht="19.5" customHeight="1">
      <c r="A182" s="292" t="str">
        <f t="shared" si="28"/>
        <v/>
      </c>
      <c r="B182" s="305" t="str">
        <f t="shared" si="29"/>
        <v/>
      </c>
      <c r="C182" s="191"/>
      <c r="D182" s="304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30"/>
        <v>0</v>
      </c>
      <c r="L182" s="8">
        <f t="shared" si="31"/>
        <v>0</v>
      </c>
      <c r="M182" s="292"/>
    </row>
    <row r="183" spans="1:13" ht="19.5" customHeight="1">
      <c r="A183" s="292" t="str">
        <f t="shared" si="28"/>
        <v/>
      </c>
      <c r="B183" s="305" t="str">
        <f t="shared" si="29"/>
        <v/>
      </c>
      <c r="C183" s="188"/>
      <c r="D183" s="304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30"/>
        <v>0</v>
      </c>
      <c r="L183" s="8">
        <f t="shared" si="31"/>
        <v>0</v>
      </c>
      <c r="M183" s="292"/>
    </row>
    <row r="184" spans="1:13" ht="19.5" customHeight="1">
      <c r="A184" s="292" t="str">
        <f t="shared" si="28"/>
        <v/>
      </c>
      <c r="B184" s="305" t="str">
        <f t="shared" si="29"/>
        <v/>
      </c>
      <c r="C184" s="191"/>
      <c r="D184" s="304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0"/>
        <v>0</v>
      </c>
      <c r="L184" s="8">
        <f t="shared" si="31"/>
        <v>0</v>
      </c>
      <c r="M184" s="292"/>
    </row>
    <row r="185" spans="1:13" ht="19.5" customHeight="1">
      <c r="A185" s="292" t="str">
        <f t="shared" si="28"/>
        <v/>
      </c>
      <c r="B185" s="305" t="str">
        <f t="shared" si="29"/>
        <v/>
      </c>
      <c r="C185" s="191"/>
      <c r="D185" s="304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0"/>
        <v>0</v>
      </c>
      <c r="L185" s="8">
        <f t="shared" si="31"/>
        <v>0</v>
      </c>
      <c r="M185" s="292"/>
    </row>
    <row r="186" spans="1:13" ht="19.5" customHeight="1">
      <c r="A186" s="292" t="str">
        <f t="shared" si="28"/>
        <v/>
      </c>
      <c r="B186" s="305" t="str">
        <f t="shared" si="29"/>
        <v/>
      </c>
      <c r="C186" s="188"/>
      <c r="D186" s="304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0"/>
        <v>0</v>
      </c>
      <c r="L186" s="8">
        <f t="shared" si="31"/>
        <v>0</v>
      </c>
      <c r="M186" s="292"/>
    </row>
    <row r="187" spans="1:13" ht="19.5" customHeight="1">
      <c r="A187" s="292" t="str">
        <f t="shared" si="28"/>
        <v/>
      </c>
      <c r="B187" s="305" t="str">
        <f t="shared" si="29"/>
        <v/>
      </c>
      <c r="C187" s="191"/>
      <c r="D187" s="304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0"/>
        <v>0</v>
      </c>
      <c r="L187" s="8">
        <f t="shared" si="31"/>
        <v>0</v>
      </c>
      <c r="M187" s="292"/>
    </row>
    <row r="188" spans="1:13" ht="19.5" customHeight="1">
      <c r="A188" s="292" t="str">
        <f t="shared" si="28"/>
        <v/>
      </c>
      <c r="B188" s="305" t="str">
        <f t="shared" si="29"/>
        <v/>
      </c>
      <c r="C188" s="39"/>
      <c r="D188" s="304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0"/>
        <v>0</v>
      </c>
      <c r="L188" s="8">
        <f t="shared" si="31"/>
        <v>0</v>
      </c>
      <c r="M188" s="292"/>
    </row>
    <row r="189" spans="1:13" ht="19.5" customHeight="1">
      <c r="A189" s="292" t="str">
        <f t="shared" si="28"/>
        <v/>
      </c>
      <c r="B189" s="305" t="str">
        <f t="shared" si="29"/>
        <v/>
      </c>
      <c r="C189" s="191"/>
      <c r="D189" s="304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0"/>
        <v>0</v>
      </c>
      <c r="L189" s="8">
        <f t="shared" si="31"/>
        <v>0</v>
      </c>
      <c r="M189" s="292"/>
    </row>
    <row r="190" spans="1:13" ht="19.5" customHeight="1">
      <c r="A190" s="292" t="str">
        <f t="shared" si="28"/>
        <v/>
      </c>
      <c r="B190" s="305" t="str">
        <f t="shared" si="29"/>
        <v/>
      </c>
      <c r="C190" s="191"/>
      <c r="D190" s="304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0"/>
        <v>0</v>
      </c>
      <c r="L190" s="8">
        <f t="shared" si="31"/>
        <v>0</v>
      </c>
      <c r="M190" s="292"/>
    </row>
    <row r="191" spans="1:13" ht="19.5" customHeight="1">
      <c r="A191" s="292" t="str">
        <f t="shared" si="28"/>
        <v/>
      </c>
      <c r="B191" s="305" t="str">
        <f t="shared" si="29"/>
        <v/>
      </c>
      <c r="C191" s="188"/>
      <c r="D191" s="304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0"/>
        <v>0</v>
      </c>
      <c r="L191" s="8">
        <f t="shared" si="31"/>
        <v>0</v>
      </c>
      <c r="M191" s="292"/>
    </row>
    <row r="192" spans="1:13" ht="19.5" customHeight="1">
      <c r="A192" s="292" t="str">
        <f t="shared" ref="A192:A215" si="32">IF(B192&lt;&gt;"","TP","")</f>
        <v/>
      </c>
      <c r="B192" s="305" t="str">
        <f t="shared" ref="B192:B215" si="33">IF(C192&lt;&gt;"",B191+1,"")</f>
        <v/>
      </c>
      <c r="C192" s="191"/>
      <c r="D192" s="304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0"/>
        <v>0</v>
      </c>
      <c r="L192" s="8">
        <f t="shared" si="31"/>
        <v>0</v>
      </c>
      <c r="M192" s="292"/>
    </row>
    <row r="193" spans="1:13" ht="19.5" customHeight="1">
      <c r="A193" s="292" t="str">
        <f t="shared" si="32"/>
        <v/>
      </c>
      <c r="B193" s="305" t="str">
        <f t="shared" si="33"/>
        <v/>
      </c>
      <c r="C193" s="191"/>
      <c r="D193" s="304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0"/>
        <v>0</v>
      </c>
      <c r="L193" s="8">
        <f t="shared" si="31"/>
        <v>0</v>
      </c>
      <c r="M193" s="292"/>
    </row>
    <row r="194" spans="1:13" ht="19.5" customHeight="1">
      <c r="A194" s="292" t="str">
        <f t="shared" si="32"/>
        <v/>
      </c>
      <c r="B194" s="305" t="str">
        <f t="shared" si="33"/>
        <v/>
      </c>
      <c r="C194" s="188"/>
      <c r="D194" s="304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0"/>
        <v>0</v>
      </c>
      <c r="L194" s="8">
        <f t="shared" si="31"/>
        <v>0</v>
      </c>
      <c r="M194" s="292"/>
    </row>
    <row r="195" spans="1:13" ht="19.5" customHeight="1">
      <c r="A195" s="292" t="str">
        <f t="shared" si="32"/>
        <v/>
      </c>
      <c r="B195" s="305" t="str">
        <f t="shared" si="33"/>
        <v/>
      </c>
      <c r="C195" s="191"/>
      <c r="D195" s="304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0"/>
        <v>0</v>
      </c>
      <c r="L195" s="8">
        <f t="shared" si="31"/>
        <v>0</v>
      </c>
      <c r="M195" s="292"/>
    </row>
    <row r="196" spans="1:13" ht="19.5" customHeight="1">
      <c r="A196" s="292" t="str">
        <f t="shared" si="32"/>
        <v/>
      </c>
      <c r="B196" s="305" t="str">
        <f t="shared" si="33"/>
        <v/>
      </c>
      <c r="C196" s="191"/>
      <c r="D196" s="304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0"/>
        <v>0</v>
      </c>
      <c r="L196" s="8">
        <f t="shared" si="31"/>
        <v>0</v>
      </c>
      <c r="M196" s="292"/>
    </row>
    <row r="197" spans="1:13" ht="19.5" customHeight="1">
      <c r="A197" s="292" t="str">
        <f t="shared" si="32"/>
        <v/>
      </c>
      <c r="B197" s="305" t="str">
        <f t="shared" si="33"/>
        <v/>
      </c>
      <c r="C197" s="39"/>
      <c r="D197" s="304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0"/>
        <v>0</v>
      </c>
      <c r="L197" s="8">
        <f t="shared" si="31"/>
        <v>0</v>
      </c>
      <c r="M197" s="292"/>
    </row>
    <row r="198" spans="1:13" ht="19.5" customHeight="1">
      <c r="A198" s="292" t="str">
        <f t="shared" si="32"/>
        <v/>
      </c>
      <c r="B198" s="305" t="str">
        <f t="shared" si="33"/>
        <v/>
      </c>
      <c r="C198" s="188"/>
      <c r="D198" s="304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0"/>
        <v>0</v>
      </c>
      <c r="L198" s="8">
        <f t="shared" si="31"/>
        <v>0</v>
      </c>
      <c r="M198" s="292"/>
    </row>
    <row r="199" spans="1:13" ht="19.5" customHeight="1">
      <c r="A199" s="292" t="str">
        <f t="shared" si="32"/>
        <v/>
      </c>
      <c r="B199" s="305" t="str">
        <f t="shared" si="33"/>
        <v/>
      </c>
      <c r="C199" s="188"/>
      <c r="D199" s="304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0"/>
        <v>0</v>
      </c>
      <c r="L199" s="8">
        <f t="shared" si="31"/>
        <v>0</v>
      </c>
      <c r="M199" s="292"/>
    </row>
    <row r="200" spans="1:13" ht="19.5" customHeight="1">
      <c r="A200" s="292" t="str">
        <f t="shared" si="32"/>
        <v/>
      </c>
      <c r="B200" s="305" t="str">
        <f t="shared" si="33"/>
        <v/>
      </c>
      <c r="C200" s="39"/>
      <c r="D200" s="304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0"/>
        <v>0</v>
      </c>
      <c r="L200" s="8">
        <f t="shared" si="31"/>
        <v>0</v>
      </c>
      <c r="M200" s="292"/>
    </row>
    <row r="201" spans="1:13" ht="19.5" customHeight="1">
      <c r="A201" s="292" t="str">
        <f t="shared" si="32"/>
        <v/>
      </c>
      <c r="B201" s="305" t="str">
        <f t="shared" si="33"/>
        <v/>
      </c>
      <c r="C201" s="191"/>
      <c r="D201" s="304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0"/>
        <v>0</v>
      </c>
      <c r="L201" s="8">
        <f t="shared" si="31"/>
        <v>0</v>
      </c>
      <c r="M201" s="292"/>
    </row>
    <row r="202" spans="1:13" ht="19.5" customHeight="1">
      <c r="A202" s="292" t="str">
        <f t="shared" si="32"/>
        <v/>
      </c>
      <c r="B202" s="305" t="str">
        <f t="shared" si="33"/>
        <v/>
      </c>
      <c r="C202" s="191"/>
      <c r="D202" s="304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0"/>
        <v>0</v>
      </c>
      <c r="L202" s="8">
        <f t="shared" si="31"/>
        <v>0</v>
      </c>
      <c r="M202" s="292"/>
    </row>
    <row r="203" spans="1:13" ht="19.5" customHeight="1">
      <c r="A203" s="292" t="str">
        <f t="shared" si="32"/>
        <v/>
      </c>
      <c r="B203" s="305" t="str">
        <f t="shared" si="33"/>
        <v/>
      </c>
      <c r="C203" s="39"/>
      <c r="D203" s="304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0"/>
        <v>0</v>
      </c>
      <c r="L203" s="8">
        <f t="shared" si="31"/>
        <v>0</v>
      </c>
      <c r="M203" s="292"/>
    </row>
    <row r="204" spans="1:13" ht="19.5" customHeight="1">
      <c r="A204" s="292" t="str">
        <f t="shared" si="32"/>
        <v/>
      </c>
      <c r="B204" s="305" t="str">
        <f t="shared" si="33"/>
        <v/>
      </c>
      <c r="C204" s="188"/>
      <c r="D204" s="304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0"/>
        <v>0</v>
      </c>
      <c r="L204" s="8">
        <f t="shared" si="31"/>
        <v>0</v>
      </c>
      <c r="M204" s="292"/>
    </row>
    <row r="205" spans="1:13" ht="19.5" customHeight="1">
      <c r="A205" s="292" t="str">
        <f t="shared" si="32"/>
        <v/>
      </c>
      <c r="B205" s="305" t="str">
        <f t="shared" si="33"/>
        <v/>
      </c>
      <c r="C205" s="191"/>
      <c r="D205" s="304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0"/>
        <v>0</v>
      </c>
      <c r="L205" s="8">
        <f t="shared" si="31"/>
        <v>0</v>
      </c>
      <c r="M205" s="292"/>
    </row>
    <row r="206" spans="1:13" ht="19.5" customHeight="1">
      <c r="A206" s="292" t="str">
        <f t="shared" si="32"/>
        <v/>
      </c>
      <c r="B206" s="305" t="str">
        <f t="shared" si="33"/>
        <v/>
      </c>
      <c r="C206" s="191"/>
      <c r="D206" s="304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0"/>
        <v>0</v>
      </c>
      <c r="L206" s="8">
        <f t="shared" si="31"/>
        <v>0</v>
      </c>
      <c r="M206" s="292"/>
    </row>
    <row r="207" spans="1:13" ht="19.5" customHeight="1">
      <c r="A207" s="292" t="str">
        <f t="shared" si="32"/>
        <v/>
      </c>
      <c r="B207" s="305" t="str">
        <f t="shared" si="33"/>
        <v/>
      </c>
      <c r="C207" s="191"/>
      <c r="D207" s="304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0"/>
        <v>0</v>
      </c>
      <c r="L207" s="8">
        <f t="shared" si="31"/>
        <v>0</v>
      </c>
      <c r="M207" s="292"/>
    </row>
    <row r="208" spans="1:13" ht="19.5" customHeight="1">
      <c r="A208" s="292" t="str">
        <f t="shared" si="32"/>
        <v/>
      </c>
      <c r="B208" s="305" t="str">
        <f t="shared" si="33"/>
        <v/>
      </c>
      <c r="C208" s="188"/>
      <c r="D208" s="304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0"/>
        <v>0</v>
      </c>
      <c r="L208" s="8">
        <f t="shared" si="31"/>
        <v>0</v>
      </c>
      <c r="M208" s="292"/>
    </row>
    <row r="209" spans="1:13" ht="19.5" customHeight="1">
      <c r="A209" s="292" t="str">
        <f t="shared" si="32"/>
        <v/>
      </c>
      <c r="B209" s="305" t="str">
        <f t="shared" si="33"/>
        <v/>
      </c>
      <c r="C209" s="188"/>
      <c r="D209" s="304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0"/>
        <v>0</v>
      </c>
      <c r="L209" s="8">
        <f t="shared" si="31"/>
        <v>0</v>
      </c>
      <c r="M209" s="292"/>
    </row>
    <row r="210" spans="1:13" ht="19.5" customHeight="1">
      <c r="A210" s="292" t="str">
        <f t="shared" si="32"/>
        <v/>
      </c>
      <c r="B210" s="305" t="str">
        <f t="shared" si="33"/>
        <v/>
      </c>
      <c r="C210" s="39"/>
      <c r="D210" s="304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0"/>
        <v>0</v>
      </c>
      <c r="L210" s="8">
        <f t="shared" si="31"/>
        <v>0</v>
      </c>
      <c r="M210" s="292"/>
    </row>
    <row r="211" spans="1:13" ht="19.5" customHeight="1">
      <c r="A211" s="292" t="str">
        <f t="shared" si="32"/>
        <v/>
      </c>
      <c r="B211" s="305" t="str">
        <f t="shared" si="33"/>
        <v/>
      </c>
      <c r="C211" s="188"/>
      <c r="D211" s="304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0"/>
        <v>0</v>
      </c>
      <c r="L211" s="8">
        <f t="shared" si="31"/>
        <v>0</v>
      </c>
      <c r="M211" s="292"/>
    </row>
    <row r="212" spans="1:13" ht="19.5" customHeight="1">
      <c r="A212" s="292" t="str">
        <f t="shared" si="32"/>
        <v/>
      </c>
      <c r="B212" s="305" t="str">
        <f t="shared" si="33"/>
        <v/>
      </c>
      <c r="C212" s="39"/>
      <c r="D212" s="304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0"/>
        <v>0</v>
      </c>
      <c r="L212" s="8">
        <f t="shared" si="31"/>
        <v>0</v>
      </c>
      <c r="M212" s="292"/>
    </row>
    <row r="213" spans="1:13" ht="19.5" customHeight="1">
      <c r="A213" s="292" t="str">
        <f t="shared" si="32"/>
        <v/>
      </c>
      <c r="B213" s="305" t="str">
        <f t="shared" si="33"/>
        <v/>
      </c>
      <c r="C213" s="188"/>
      <c r="D213" s="304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0"/>
        <v>0</v>
      </c>
      <c r="L213" s="8">
        <f t="shared" si="31"/>
        <v>0</v>
      </c>
      <c r="M213" s="292"/>
    </row>
    <row r="214" spans="1:13" ht="19.5" customHeight="1">
      <c r="A214" s="292" t="str">
        <f t="shared" si="32"/>
        <v/>
      </c>
      <c r="B214" s="305" t="str">
        <f t="shared" si="33"/>
        <v/>
      </c>
      <c r="C214" s="191"/>
      <c r="D214" s="304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0"/>
        <v>0</v>
      </c>
      <c r="L214" s="8">
        <f t="shared" si="31"/>
        <v>0</v>
      </c>
      <c r="M214" s="292"/>
    </row>
    <row r="215" spans="1:13" ht="19.5" customHeight="1">
      <c r="A215" s="292" t="str">
        <f t="shared" si="32"/>
        <v/>
      </c>
      <c r="B215" s="305" t="str">
        <f t="shared" si="33"/>
        <v/>
      </c>
      <c r="C215" s="39"/>
      <c r="D215" s="304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30"/>
        <v>0</v>
      </c>
      <c r="L215" s="8">
        <f t="shared" si="31"/>
        <v>0</v>
      </c>
      <c r="M215" s="292"/>
    </row>
    <row r="216" spans="1:13" ht="18.75" customHeight="1">
      <c r="A216" s="292"/>
      <c r="B216" s="305"/>
      <c r="C216" s="39"/>
      <c r="D216" s="304"/>
      <c r="E216" s="8"/>
      <c r="F216" s="8"/>
      <c r="G216" s="25"/>
      <c r="H216" s="25"/>
      <c r="I216" s="25"/>
      <c r="J216" s="25"/>
      <c r="K216" s="8"/>
      <c r="L216" s="8"/>
      <c r="M216" s="292"/>
    </row>
    <row r="217" spans="1:13" ht="19.5" customHeight="1">
      <c r="A217" s="292" t="str">
        <f t="shared" ref="A217" si="34">IF(B217&lt;&gt;"","TP","")</f>
        <v/>
      </c>
      <c r="B217" s="291"/>
      <c r="C217" s="300" t="s">
        <v>200</v>
      </c>
      <c r="D217" s="291"/>
      <c r="E217" s="13">
        <f t="shared" ref="E217:L217" si="35">SUM(E33:E216)</f>
        <v>0</v>
      </c>
      <c r="F217" s="13">
        <f t="shared" si="35"/>
        <v>0</v>
      </c>
      <c r="G217" s="13">
        <f t="shared" si="35"/>
        <v>0</v>
      </c>
      <c r="H217" s="13">
        <f t="shared" si="35"/>
        <v>0</v>
      </c>
      <c r="I217" s="13">
        <f t="shared" si="35"/>
        <v>0</v>
      </c>
      <c r="J217" s="13">
        <f t="shared" si="35"/>
        <v>0</v>
      </c>
      <c r="K217" s="13">
        <f t="shared" si="35"/>
        <v>0</v>
      </c>
      <c r="L217" s="13">
        <f t="shared" si="35"/>
        <v>0</v>
      </c>
      <c r="M217" s="292"/>
    </row>
    <row r="218" spans="1:13" ht="18.75" customHeight="1">
      <c r="A218" s="292"/>
      <c r="B218" s="474"/>
      <c r="C218" s="474"/>
      <c r="D218" s="473"/>
      <c r="E218" s="475"/>
      <c r="F218" s="475">
        <f>F217-CDPS!C23</f>
        <v>0</v>
      </c>
      <c r="G218" s="475"/>
      <c r="H218" s="475">
        <f>H217-CDPS!E23</f>
        <v>0</v>
      </c>
      <c r="I218" s="475"/>
      <c r="J218" s="475">
        <f>J217-CDPS!F23</f>
        <v>0</v>
      </c>
      <c r="K218" s="475"/>
      <c r="L218" s="475">
        <f>L217-CDPS!H23</f>
        <v>0</v>
      </c>
      <c r="M218" s="306"/>
    </row>
    <row r="219" spans="1:13" ht="18.75" customHeight="1"/>
    <row r="220" spans="1:13" ht="19.5" customHeight="1"/>
    <row r="221" spans="1:13" ht="19.5" customHeight="1">
      <c r="C221" s="1006"/>
      <c r="D221" s="1006"/>
      <c r="E221" s="1006"/>
      <c r="F221" s="822"/>
      <c r="G221" s="822"/>
      <c r="H221" s="822"/>
      <c r="I221" s="822"/>
      <c r="J221" s="1006" t="s">
        <v>420</v>
      </c>
      <c r="K221" s="1006"/>
      <c r="L221" s="1006"/>
    </row>
    <row r="222" spans="1:13" ht="19.5" customHeight="1">
      <c r="C222" s="823"/>
      <c r="D222" s="823"/>
      <c r="E222" s="823"/>
      <c r="F222" s="1006"/>
      <c r="G222" s="1006"/>
      <c r="H222" s="1006"/>
      <c r="I222" s="822"/>
      <c r="J222" s="1006" t="s">
        <v>109</v>
      </c>
      <c r="K222" s="1006"/>
      <c r="L222" s="1006"/>
    </row>
    <row r="223" spans="1:13" ht="19.5" customHeight="1">
      <c r="C223" s="823"/>
      <c r="D223" s="823"/>
      <c r="E223" s="823"/>
      <c r="F223" s="1006"/>
      <c r="G223" s="1006"/>
      <c r="H223" s="1006"/>
      <c r="I223" s="287"/>
      <c r="J223" s="1006" t="s">
        <v>136</v>
      </c>
      <c r="K223" s="1006"/>
      <c r="L223" s="1006"/>
    </row>
    <row r="224" spans="1:13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</sheetData>
  <autoFilter ref="A11:N218"/>
  <sortState ref="A35:N671">
    <sortCondition ref="C35:C671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21:E221"/>
    <mergeCell ref="J223:L223"/>
    <mergeCell ref="F223:H223"/>
    <mergeCell ref="J222:L222"/>
    <mergeCell ref="F222:H222"/>
    <mergeCell ref="J221:L221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H31" sqref="H31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5" customFormat="1" ht="12" customHeight="1">
      <c r="A2" s="664" t="str">
        <f>TH!A1</f>
        <v>Đơn vị: CÔNG TY TNHH SX TM KIM DUNG PHÁT</v>
      </c>
      <c r="G2" s="666" t="str">
        <f>+IF(LEFT($D$7,1)="N","Mẫu số 01 - VT","Mẫu số 02 - VT")</f>
        <v>Mẫu số 02 - VT</v>
      </c>
    </row>
    <row r="3" spans="1:17" s="665" customFormat="1" ht="12" customHeight="1">
      <c r="A3" s="667" t="str">
        <f>TH!A2</f>
        <v>Địa chỉ: 1A227/1 Ấp 1, Phạm Văn Hai, Bình Chánh, TPHCM</v>
      </c>
      <c r="G3" s="70" t="e">
        <f ca="1">IF(INT(RIGHT($D$6,4))&gt;=2015,"(Ban hành theo Thông tư số 200/2014/TT-BTC ","(Ban hành kèm theo QĐ 48/2006/QĐ-BTC")</f>
        <v>#VALUE!</v>
      </c>
      <c r="N3" s="666" t="s">
        <v>104</v>
      </c>
      <c r="O3" s="668"/>
      <c r="P3" s="669">
        <f>IF(J5="Quý I",1,IF(J5="Quý II",4,IF(J5="Quý III",7,IF(J5="Quý IV",10,""))))</f>
        <v>10</v>
      </c>
      <c r="Q3" s="669">
        <f>IF(J5="Quý I",3,IF(J5="Quý II",6,IF(J5="Quý III",9,IF(J5="Quý IV",12,""))))</f>
        <v>12</v>
      </c>
    </row>
    <row r="4" spans="1:17" s="665" customFormat="1" ht="12" customHeight="1" thickBot="1">
      <c r="G4" s="70" t="e">
        <f ca="1">IF(INT(RIGHT($D$6,4))&gt;=2015,"Ngày 22/12/2014 của Bộ Tài chính)","ngày 24/09/2006 của Bộ trưởng BTC)")</f>
        <v>#VALUE!</v>
      </c>
      <c r="J4" s="670"/>
      <c r="M4" s="671"/>
      <c r="N4" s="666" t="s">
        <v>105</v>
      </c>
      <c r="O4" s="668"/>
    </row>
    <row r="5" spans="1:17" ht="18" customHeight="1" thickBot="1">
      <c r="D5" s="314" t="str">
        <f>+IF(LEFT($L$5,1)="N","PHIẾU NHẬP KHO","PHIẾU XUẤT KHO")</f>
        <v>PHIẾU XUẤT KHO</v>
      </c>
      <c r="J5" s="661" t="s">
        <v>412</v>
      </c>
      <c r="K5" s="315"/>
      <c r="L5" s="662" t="s">
        <v>415</v>
      </c>
      <c r="M5" s="316"/>
      <c r="N5" s="663">
        <v>2</v>
      </c>
      <c r="O5" s="311"/>
      <c r="P5" s="311"/>
    </row>
    <row r="6" spans="1:17" ht="10.5" customHeight="1">
      <c r="D6" s="67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74"/>
      <c r="M6" s="313"/>
      <c r="O6" s="311"/>
    </row>
    <row r="7" spans="1:17" ht="10.5" customHeight="1">
      <c r="C7" s="675" t="str">
        <f xml:space="preserve"> "Số:"</f>
        <v>Số:</v>
      </c>
      <c r="D7" s="676" t="str">
        <f xml:space="preserve"> RIGHT($L$5,2)&amp;"/"&amp;LEFT($L$5,1)&amp;IF($N$5&gt;=10,$N$5,"0"&amp;$N$5)</f>
        <v>TP/X02</v>
      </c>
      <c r="G7" s="310" t="str">
        <f ca="1">"Nợ:  "&amp;IF(ROWS($1:1)&gt;COUNT(Dong10),"",OFFSET(TH!L$1,SMALL(Dong10,ROWS($1:1)),))</f>
        <v xml:space="preserve">Nợ:  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 xml:space="preserve">Có:  </v>
      </c>
      <c r="M8" s="313"/>
      <c r="O8" s="677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310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56" t="s">
        <v>35</v>
      </c>
      <c r="B14" s="1056" t="s">
        <v>201</v>
      </c>
      <c r="C14" s="1056" t="s">
        <v>202</v>
      </c>
      <c r="D14" s="1056" t="s">
        <v>193</v>
      </c>
      <c r="E14" s="1058" t="s">
        <v>203</v>
      </c>
      <c r="F14" s="1058"/>
      <c r="G14" s="1056" t="s">
        <v>204</v>
      </c>
      <c r="H14" s="1056" t="s">
        <v>205</v>
      </c>
    </row>
    <row r="15" spans="1:17" ht="12.75" customHeight="1">
      <c r="A15" s="1057"/>
      <c r="B15" s="1057"/>
      <c r="C15" s="1057"/>
      <c r="D15" s="1057"/>
      <c r="E15" s="678" t="s">
        <v>206</v>
      </c>
      <c r="F15" s="678" t="str">
        <f>IF(LEFT($D$7,1)="N","Thực nhập","Thực xuất")</f>
        <v>Thực xuất</v>
      </c>
      <c r="G15" s="1057"/>
      <c r="H15" s="1057"/>
    </row>
    <row r="16" spans="1:17" s="70" customFormat="1" ht="8.25" customHeight="1">
      <c r="A16" s="679" t="s">
        <v>2</v>
      </c>
      <c r="B16" s="679" t="s">
        <v>3</v>
      </c>
      <c r="C16" s="679" t="s">
        <v>4</v>
      </c>
      <c r="D16" s="679" t="s">
        <v>5</v>
      </c>
      <c r="E16" s="679">
        <v>1</v>
      </c>
      <c r="F16" s="679">
        <v>2</v>
      </c>
      <c r="G16" s="679">
        <v>3</v>
      </c>
      <c r="H16" s="679">
        <v>4</v>
      </c>
    </row>
    <row r="17" spans="1:8" ht="11.25" customHeight="1">
      <c r="A17" s="680" t="str">
        <f ca="1">IF(B17="","",ROW()-16)</f>
        <v/>
      </c>
      <c r="B17" s="681" t="str">
        <f ca="1">IF(ROWS($1:1)&gt;COUNT(Dong10),"",OFFSET(TH!F$1,SMALL(Dong10,ROWS($1:1)),))</f>
        <v/>
      </c>
      <c r="C17" s="682"/>
      <c r="D17" s="683" t="str">
        <f ca="1">IF(ISNA(VLOOKUP(B17,NXT!$C$12:$D$216,2,0)),"",VLOOKUP(B17,NXT!$C$12:$D$216,2,0))</f>
        <v/>
      </c>
      <c r="E17" s="684"/>
      <c r="F17" s="685" t="str">
        <f ca="1">IF(ROWS($1:1)&gt;COUNT(Dong10),"",OFFSET(TH!I$1,SMALL(Dong10,ROWS($1:1)),))</f>
        <v/>
      </c>
      <c r="G17" s="685" t="str">
        <f ca="1">IF(ROWS($1:1)&gt;COUNT(Dong10),"",OFFSET(TH!J$1,SMALL(Dong10,ROWS($1:1)),))</f>
        <v/>
      </c>
      <c r="H17" s="684">
        <f ca="1">IF(F17&lt;&gt;"",ROUND(F17*G17,0),0)</f>
        <v>0</v>
      </c>
    </row>
    <row r="18" spans="1:8" ht="11.25" customHeight="1">
      <c r="A18" s="680" t="str">
        <f t="shared" ref="A18:A20" ca="1" si="0">IF(B18="","",A17+1)</f>
        <v/>
      </c>
      <c r="B18" s="681" t="str">
        <f ca="1">IF(ROWS($1:2)&gt;COUNT(Dong10),"",OFFSET(TH!F$1,SMALL(Dong10,ROWS($1:2)),))</f>
        <v/>
      </c>
      <c r="C18" s="682"/>
      <c r="D18" s="683" t="str">
        <f ca="1">IF(ISNA(VLOOKUP(B18,NXT!$C$12:$D$216,2,0)),"",VLOOKUP(B18,NXT!$C$12:$D$216,2,0))</f>
        <v/>
      </c>
      <c r="E18" s="684"/>
      <c r="F18" s="685" t="str">
        <f ca="1">IF(ROWS($1:2)&gt;COUNT(Dong10),"",OFFSET(TH!I$1,SMALL(Dong10,ROWS($1:2)),))</f>
        <v/>
      </c>
      <c r="G18" s="685" t="str">
        <f ca="1">IF(ROWS($1:2)&gt;COUNT(Dong10),"",OFFSET(TH!J$1,SMALL(Dong10,ROWS($1:2)),))</f>
        <v/>
      </c>
      <c r="H18" s="684">
        <f t="shared" ref="H18:H24" ca="1" si="1">IF(F18&lt;&gt;"",ROUND(F18*G18,0),0)</f>
        <v>0</v>
      </c>
    </row>
    <row r="19" spans="1:8" ht="11.25" customHeight="1">
      <c r="A19" s="680" t="str">
        <f t="shared" ca="1" si="0"/>
        <v/>
      </c>
      <c r="B19" s="681" t="str">
        <f ca="1">IF(ROWS($1:3)&gt;COUNT(Dong10),"",OFFSET(TH!F$1,SMALL(Dong10,ROWS($1:3)),))</f>
        <v/>
      </c>
      <c r="C19" s="682"/>
      <c r="D19" s="683" t="str">
        <f ca="1">IF(ISNA(VLOOKUP(B19,NXT!$C$12:$D$216,2,0)),"",VLOOKUP(B19,NXT!$C$12:$D$216,2,0))</f>
        <v/>
      </c>
      <c r="E19" s="684"/>
      <c r="F19" s="685" t="str">
        <f ca="1">IF(ROWS($1:3)&gt;COUNT(Dong10),"",OFFSET(TH!I$1,SMALL(Dong10,ROWS($1:3)),))</f>
        <v/>
      </c>
      <c r="G19" s="685" t="str">
        <f ca="1">IF(ROWS($1:3)&gt;COUNT(Dong10),"",OFFSET(TH!J$1,SMALL(Dong10,ROWS($1:3)),))</f>
        <v/>
      </c>
      <c r="H19" s="684">
        <f t="shared" ca="1" si="1"/>
        <v>0</v>
      </c>
    </row>
    <row r="20" spans="1:8" ht="11.25" customHeight="1">
      <c r="A20" s="680" t="str">
        <f t="shared" ca="1" si="0"/>
        <v/>
      </c>
      <c r="B20" s="681" t="str">
        <f ca="1">IF(ROWS($1:4)&gt;COUNT(Dong10),"",OFFSET(TH!F$1,SMALL(Dong10,ROWS($1:4)),))</f>
        <v/>
      </c>
      <c r="C20" s="682"/>
      <c r="D20" s="683" t="str">
        <f ca="1">IF(ISNA(VLOOKUP(B20,NXT!$C$12:$D$216,2,0)),"",VLOOKUP(B20,NXT!$C$12:$D$216,2,0))</f>
        <v/>
      </c>
      <c r="E20" s="684"/>
      <c r="F20" s="685" t="str">
        <f ca="1">IF(ROWS($1:4)&gt;COUNT(Dong10),"",OFFSET(TH!I$1,SMALL(Dong10,ROWS($1:4)),))</f>
        <v/>
      </c>
      <c r="G20" s="685" t="str">
        <f ca="1">IF(ROWS($1:4)&gt;COUNT(Dong10),"",OFFSET(TH!J$1,SMALL(Dong10,ROWS($1:4)),))</f>
        <v/>
      </c>
      <c r="H20" s="684">
        <f t="shared" ca="1" si="1"/>
        <v>0</v>
      </c>
    </row>
    <row r="21" spans="1:8" ht="11.25" customHeight="1">
      <c r="A21" s="680" t="str">
        <f t="shared" ref="A21:A23" ca="1" si="2">IF(B21="","",A20+1)</f>
        <v/>
      </c>
      <c r="B21" s="681" t="str">
        <f ca="1">IF(ROWS($1:5)&gt;COUNT(Dong10),"",OFFSET(TH!F$1,SMALL(Dong10,ROWS($1:5)),))</f>
        <v/>
      </c>
      <c r="C21" s="682"/>
      <c r="D21" s="683" t="str">
        <f ca="1">IF(ISNA(VLOOKUP(B21,NXT!$C$12:$D$216,2,0)),"",VLOOKUP(B21,NXT!$C$12:$D$216,2,0))</f>
        <v/>
      </c>
      <c r="E21" s="684"/>
      <c r="F21" s="685" t="str">
        <f ca="1">IF(ROWS($1:5)&gt;COUNT(Dong10),"",OFFSET(TH!I$1,SMALL(Dong10,ROWS($1:5)),))</f>
        <v/>
      </c>
      <c r="G21" s="685" t="str">
        <f ca="1">IF(ROWS($1:5)&gt;COUNT(Dong10),"",OFFSET(TH!J$1,SMALL(Dong10,ROWS($1:5)),))</f>
        <v/>
      </c>
      <c r="H21" s="684">
        <f t="shared" ca="1" si="1"/>
        <v>0</v>
      </c>
    </row>
    <row r="22" spans="1:8" ht="11.25" customHeight="1">
      <c r="A22" s="680" t="str">
        <f t="shared" ca="1" si="2"/>
        <v/>
      </c>
      <c r="B22" s="681" t="str">
        <f ca="1">IF(ROWS($1:6)&gt;COUNT(Dong10),"",OFFSET(TH!F$1,SMALL(Dong10,ROWS($1:6)),))</f>
        <v/>
      </c>
      <c r="C22" s="682"/>
      <c r="D22" s="683" t="str">
        <f ca="1">IF(ISNA(VLOOKUP(B22,NXT!$C$12:$D$216,2,0)),"",VLOOKUP(B22,NXT!$C$12:$D$216,2,0))</f>
        <v/>
      </c>
      <c r="E22" s="684"/>
      <c r="F22" s="685" t="str">
        <f ca="1">IF(ROWS($1:6)&gt;COUNT(Dong10),"",OFFSET(TH!I$1,SMALL(Dong10,ROWS($1:6)),))</f>
        <v/>
      </c>
      <c r="G22" s="685" t="str">
        <f ca="1">IF(ROWS($1:6)&gt;COUNT(Dong10),"",OFFSET(TH!J$1,SMALL(Dong10,ROWS($1:6)),))</f>
        <v/>
      </c>
      <c r="H22" s="684">
        <f t="shared" ca="1" si="1"/>
        <v>0</v>
      </c>
    </row>
    <row r="23" spans="1:8" ht="11.25" customHeight="1">
      <c r="A23" s="680" t="str">
        <f t="shared" ca="1" si="2"/>
        <v/>
      </c>
      <c r="B23" s="681" t="str">
        <f ca="1">IF(ROWS($1:7)&gt;COUNT(Dong10),"",OFFSET(TH!F$1,SMALL(Dong10,ROWS($1:7)),))</f>
        <v/>
      </c>
      <c r="C23" s="682"/>
      <c r="D23" s="683" t="str">
        <f ca="1">IF(ISNA(VLOOKUP(B23,NXT!$C$12:$D$216,2,0)),"",VLOOKUP(B23,NXT!$C$12:$D$216,2,0))</f>
        <v/>
      </c>
      <c r="E23" s="684"/>
      <c r="F23" s="685" t="str">
        <f ca="1">IF(ROWS($1:7)&gt;COUNT(Dong10),"",OFFSET(TH!I$1,SMALL(Dong10,ROWS($1:7)),))</f>
        <v/>
      </c>
      <c r="G23" s="685" t="str">
        <f ca="1">IF(ROWS($1:7)&gt;COUNT(Dong10),"",OFFSET(TH!J$1,SMALL(Dong10,ROWS($1:7)),))</f>
        <v/>
      </c>
      <c r="H23" s="684">
        <f t="shared" ca="1" si="1"/>
        <v>0</v>
      </c>
    </row>
    <row r="24" spans="1:8" ht="11.25" customHeight="1">
      <c r="A24" s="680" t="str">
        <f t="shared" ref="A24" ca="1" si="3">IF(B24="","",A23+1)</f>
        <v/>
      </c>
      <c r="B24" s="681" t="str">
        <f ca="1">IF(ROWS($1:8)&gt;COUNT(Dong10),"",OFFSET(TH!F$1,SMALL(Dong10,ROWS($1:8)),))</f>
        <v/>
      </c>
      <c r="C24" s="682"/>
      <c r="D24" s="683" t="str">
        <f ca="1">IF(ISNA(VLOOKUP(B24,NXT!$C$12:$D$216,2,0)),"",VLOOKUP(B24,NXT!$C$12:$D$216,2,0))</f>
        <v/>
      </c>
      <c r="E24" s="684"/>
      <c r="F24" s="685" t="str">
        <f ca="1">IF(ROWS($1:8)&gt;COUNT(Dong10),"",OFFSET(TH!I$1,SMALL(Dong10,ROWS($1:8)),))</f>
        <v/>
      </c>
      <c r="G24" s="685" t="str">
        <f ca="1">IF(ROWS($1:8)&gt;COUNT(Dong10),"",OFFSET(TH!J$1,SMALL(Dong10,ROWS($1:8)),))</f>
        <v/>
      </c>
      <c r="H24" s="684">
        <f t="shared" ca="1" si="1"/>
        <v>0</v>
      </c>
    </row>
    <row r="25" spans="1:8" ht="11.25" customHeight="1">
      <c r="A25" s="680" t="str">
        <f t="shared" ref="A25" ca="1" si="4">IF(B25="","",A24+1)</f>
        <v/>
      </c>
      <c r="B25" s="681" t="str">
        <f ca="1">IF(ROWS($1:9)&gt;COUNT(Dong10),"",OFFSET(TH!F$1,SMALL(Dong10,ROWS($1:9)),))</f>
        <v/>
      </c>
      <c r="C25" s="682"/>
      <c r="D25" s="683" t="str">
        <f ca="1">IF(ISNA(VLOOKUP(B25,NXT!$C$12:$D$216,2,0)),"",VLOOKUP(B25,NXT!$C$12:$D$216,2,0))</f>
        <v/>
      </c>
      <c r="E25" s="684"/>
      <c r="F25" s="685" t="str">
        <f ca="1">IF(ROWS($1:9)&gt;COUNT(Dong10),"",OFFSET(TH!I$1,SMALL(Dong10,ROWS($1:9)),))</f>
        <v/>
      </c>
      <c r="G25" s="685" t="str">
        <f ca="1">IF(ROWS($1:9)&gt;COUNT(Dong10),"",OFFSET(TH!J$1,SMALL(Dong10,ROWS($1:9)),))</f>
        <v/>
      </c>
      <c r="H25" s="684">
        <f t="shared" ref="H25" ca="1" si="5">IF(F25&lt;&gt;"",ROUND(F25*G25,0),0)</f>
        <v>0</v>
      </c>
    </row>
    <row r="26" spans="1:8" ht="11.25" customHeight="1">
      <c r="A26" s="680"/>
      <c r="B26" s="681"/>
      <c r="C26" s="682"/>
      <c r="D26" s="683"/>
      <c r="E26" s="684"/>
      <c r="F26" s="685"/>
      <c r="G26" s="686"/>
      <c r="H26" s="684"/>
    </row>
    <row r="27" spans="1:8" ht="11.25" customHeight="1">
      <c r="A27" s="1058" t="s">
        <v>207</v>
      </c>
      <c r="B27" s="1058"/>
      <c r="C27" s="687"/>
      <c r="D27" s="687"/>
      <c r="E27" s="688"/>
      <c r="F27" s="688"/>
      <c r="G27" s="688"/>
      <c r="H27" s="688">
        <f ca="1">SUM(H17:H26)</f>
        <v>0</v>
      </c>
    </row>
    <row r="28" spans="1:8" ht="3" customHeight="1">
      <c r="A28" s="689"/>
      <c r="B28" s="689"/>
      <c r="C28" s="313"/>
      <c r="D28" s="313"/>
      <c r="E28" s="690"/>
      <c r="F28" s="690"/>
      <c r="G28" s="690"/>
      <c r="H28" s="690"/>
    </row>
    <row r="29" spans="1:8" ht="11.25" customHeight="1">
      <c r="A29" s="310" t="e">
        <f ca="1">"Tổng số tiền (viết bằng chữ):  "&amp;[2]!VND(H27,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70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312" customFormat="1" ht="11.25" customHeight="1">
      <c r="A32" s="691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6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2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78" sqref="J78:M7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SX TM KIM DUNG PHÁT</v>
      </c>
      <c r="C2" s="324"/>
      <c r="D2" s="325"/>
      <c r="E2" s="326"/>
      <c r="F2" s="2"/>
      <c r="J2" s="1059" t="s">
        <v>211</v>
      </c>
      <c r="K2" s="1059"/>
      <c r="L2" s="1059"/>
      <c r="M2" s="1059"/>
      <c r="N2" s="327"/>
    </row>
    <row r="3" spans="1:17" s="262" customFormat="1" ht="16.5" customHeight="1">
      <c r="B3" s="614" t="str">
        <f>TH!A2</f>
        <v>Địa chỉ: 1A227/1 Ấp 1, Phạm Văn Hai, Bình Chánh, TPHCM</v>
      </c>
      <c r="C3" s="323"/>
      <c r="D3" s="323"/>
      <c r="E3" s="328"/>
      <c r="F3" s="323"/>
      <c r="J3" s="1060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60"/>
      <c r="L3" s="1060"/>
      <c r="M3" s="1060"/>
      <c r="N3" s="329"/>
    </row>
    <row r="4" spans="1:17" s="262" customFormat="1" ht="16.5" customHeight="1">
      <c r="B4" s="323"/>
      <c r="C4" s="323"/>
      <c r="D4" s="323"/>
      <c r="E4" s="328"/>
      <c r="F4" s="323"/>
      <c r="J4" s="1060"/>
      <c r="K4" s="1060"/>
      <c r="L4" s="1060"/>
      <c r="M4" s="1060"/>
      <c r="N4" s="329"/>
    </row>
    <row r="5" spans="1:17" ht="18.75" customHeight="1">
      <c r="B5" s="1061" t="s">
        <v>212</v>
      </c>
      <c r="C5" s="1061"/>
      <c r="D5" s="1061"/>
      <c r="E5" s="1061"/>
      <c r="F5" s="1061"/>
      <c r="G5" s="1061"/>
      <c r="H5" s="1061"/>
      <c r="I5" s="1061"/>
      <c r="J5" s="1061"/>
      <c r="K5" s="1061"/>
      <c r="L5" s="1061"/>
      <c r="M5" s="1061"/>
      <c r="N5" s="330"/>
    </row>
    <row r="6" spans="1:17" s="331" customFormat="1" ht="12.75">
      <c r="B6" s="1062" t="s">
        <v>213</v>
      </c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1062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3" t="s">
        <v>354</v>
      </c>
      <c r="K8" s="1063"/>
      <c r="L8" s="1063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65" t="s">
        <v>35</v>
      </c>
      <c r="B10" s="1066" t="s">
        <v>1</v>
      </c>
      <c r="C10" s="1066"/>
      <c r="D10" s="1067" t="s">
        <v>0</v>
      </c>
      <c r="E10" s="1067" t="s">
        <v>216</v>
      </c>
      <c r="F10" s="1067" t="s">
        <v>204</v>
      </c>
      <c r="G10" s="1069" t="s">
        <v>217</v>
      </c>
      <c r="H10" s="1070"/>
      <c r="I10" s="1069" t="s">
        <v>218</v>
      </c>
      <c r="J10" s="1070"/>
      <c r="K10" s="1069" t="s">
        <v>219</v>
      </c>
      <c r="L10" s="1070"/>
      <c r="M10" s="1067" t="s">
        <v>127</v>
      </c>
      <c r="N10" s="340"/>
      <c r="O10" s="341" t="s">
        <v>210</v>
      </c>
    </row>
    <row r="11" spans="1:17" ht="31.5" customHeight="1">
      <c r="A11" s="1065"/>
      <c r="B11" s="342" t="s">
        <v>15</v>
      </c>
      <c r="C11" s="342" t="s">
        <v>32</v>
      </c>
      <c r="D11" s="1067"/>
      <c r="E11" s="1067"/>
      <c r="F11" s="1067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67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 t="e">
        <f>VLOOKUP($J$8,NXT!$C$12:$L$216,3,0)</f>
        <v>#N/A</v>
      </c>
      <c r="L13" s="351" t="e">
        <f>VLOOKUP($J$8,NXT!$C$12:$L$216,4,0)</f>
        <v>#N/A</v>
      </c>
      <c r="M13" s="350"/>
      <c r="N13" s="346"/>
    </row>
    <row r="14" spans="1:17">
      <c r="A14" s="317" t="str">
        <f ca="1">IF(B14="","",ROW()-13)</f>
        <v/>
      </c>
      <c r="B14" s="352" t="str">
        <f ca="1">IF(ROWS($1:1)&gt;COUNT(Dong11),"",OFFSET(TH!D$1,SMALL(Dong11,ROWS($1:1)),))</f>
        <v/>
      </c>
      <c r="C14" s="353" t="str">
        <f ca="1">IF(ROWS($1:1)&gt;COUNT(Dong11),"",OFFSET(TH!E$1,SMALL(Dong11,ROWS($1:1)),))</f>
        <v/>
      </c>
      <c r="D14" s="354" t="str">
        <f ca="1">IF(ROWS($1:1)&gt;COUNT(Dong11),"",OFFSET(TH!H$1,SMALL(Dong11,ROWS($1:1)),))</f>
        <v/>
      </c>
      <c r="E14" s="352" t="str">
        <f ca="1">IF(ROWS($1:1)&gt;COUNT(Dong11),"",IF(OFFSET(TH!L$1,SMALL(Dong11,ROWS($1:1)),)=$G$7,OFFSET(TH!M$1,SMALL(Dong11,ROWS($1:1)),),OFFSET(TH!L$1,SMALL(Dong11,ROWS($1:1)),)))</f>
        <v/>
      </c>
      <c r="F14" s="355">
        <f ca="1">IF(ROWS($1:1)&gt;COUNT(Dong11),0,OFFSET(TH!J$1,SMALL(Dong11,ROWS($1:1)),))</f>
        <v>0</v>
      </c>
      <c r="G14" s="355">
        <f ca="1">IF(ROWS($1:1)&gt;COUNT(Dong11),0,IF(MID(OFFSET(TH!D$1,SMALL(Dong11,ROWS($1:1)),),4,1)="N",OFFSET(TH!I$1,SMALL(Dong11,ROWS($1:1)),),0))</f>
        <v>0</v>
      </c>
      <c r="H14" s="356">
        <f ca="1">ROUND(F14*G14,0)</f>
        <v>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0</v>
      </c>
      <c r="L14" s="356">
        <f ca="1">IF(D14&lt;&gt;"",L13+H14-J14,0)</f>
        <v>0</v>
      </c>
      <c r="M14" s="356"/>
      <c r="N14" s="346"/>
    </row>
    <row r="15" spans="1:17">
      <c r="A15" s="317" t="str">
        <f t="shared" ref="A15:A24" ca="1" si="0">IF(B15="","",A14+1)</f>
        <v/>
      </c>
      <c r="B15" s="352" t="str">
        <f ca="1">IF(ROWS($1:2)&gt;COUNT(Dong11),"",OFFSET(TH!D$1,SMALL(Dong11,ROWS($1:2)),))</f>
        <v/>
      </c>
      <c r="C15" s="353" t="str">
        <f ca="1">IF(ROWS($1:2)&gt;COUNT(Dong11),"",OFFSET(TH!E$1,SMALL(Dong11,ROWS($1:2)),))</f>
        <v/>
      </c>
      <c r="D15" s="354" t="str">
        <f ca="1">IF(ROWS($1:2)&gt;COUNT(Dong11),"",OFFSET(TH!H$1,SMALL(Dong11,ROWS($1:2)),))</f>
        <v/>
      </c>
      <c r="E15" s="352" t="str">
        <f ca="1">IF(ROWS($1:2)&gt;COUNT(Dong11),"",IF(OFFSET(TH!L$1,SMALL(Dong11,ROWS($1:2)),)=$G$7,OFFSET(TH!M$1,SMALL(Dong11,ROWS($1:2)),),OFFSET(TH!L$1,SMALL(Dong11,ROWS($1:2)),)))</f>
        <v/>
      </c>
      <c r="F15" s="355">
        <f ca="1">IF(ROWS($1:2)&gt;COUNT(Dong11),0,OFFSET(TH!J$1,SMALL(Dong11,ROWS($1:2)),))</f>
        <v>0</v>
      </c>
      <c r="G15" s="355">
        <f ca="1">IF(ROWS($1:2)&gt;COUNT(Dong11),0,IF(MID(OFFSET(TH!D$1,SMALL(Dong11,ROWS($1:2)),),4,1)="N",OFFSET(TH!I$1,SMALL(Dong11,ROWS($1:2)),),0))</f>
        <v>0</v>
      </c>
      <c r="H15" s="356">
        <f t="shared" ref="H15:H24" ca="1" si="1">ROUND(F15*G15,0)</f>
        <v>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0</v>
      </c>
      <c r="L15" s="356">
        <f t="shared" ref="L15:L24" ca="1" si="4">IF(D15&lt;&gt;"",L14+H15-J15,0)</f>
        <v>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0</v>
      </c>
      <c r="H74" s="365">
        <f ca="1">SUM(H14:H73)</f>
        <v>0</v>
      </c>
      <c r="I74" s="365">
        <f ca="1">SUM(I14:I73)</f>
        <v>0</v>
      </c>
      <c r="J74" s="365">
        <f ca="1">SUM(J14:J73)</f>
        <v>0</v>
      </c>
      <c r="K74" s="365" t="e">
        <f ca="1">K13+G74-I74</f>
        <v>#N/A</v>
      </c>
      <c r="L74" s="365" t="e">
        <f ca="1">L13+H74-J74</f>
        <v>#N/A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68" t="e">
        <f ca="1">"Ngày 31 tháng  12  năm  "&amp;YEAR($A$14)</f>
        <v>#VALUE!</v>
      </c>
      <c r="K77" s="1068"/>
      <c r="L77" s="1068"/>
      <c r="M77" s="1068"/>
      <c r="N77" s="346"/>
    </row>
    <row r="78" spans="1:14">
      <c r="C78" s="333"/>
      <c r="D78" s="554" t="s">
        <v>11</v>
      </c>
      <c r="E78" s="1068" t="s">
        <v>12</v>
      </c>
      <c r="F78" s="1068"/>
      <c r="G78" s="1068"/>
      <c r="H78" s="1068"/>
      <c r="I78" s="1068"/>
      <c r="J78" s="1068" t="s">
        <v>109</v>
      </c>
      <c r="K78" s="1068"/>
      <c r="L78" s="1068"/>
      <c r="M78" s="1068"/>
      <c r="N78" s="346"/>
    </row>
    <row r="79" spans="1:14">
      <c r="C79" s="333"/>
      <c r="D79" s="554" t="s">
        <v>13</v>
      </c>
      <c r="E79" s="1068" t="s">
        <v>13</v>
      </c>
      <c r="F79" s="1068"/>
      <c r="G79" s="1068"/>
      <c r="H79" s="1068" t="s">
        <v>136</v>
      </c>
      <c r="I79" s="1068"/>
      <c r="J79" s="1068" t="s">
        <v>136</v>
      </c>
      <c r="K79" s="1068"/>
      <c r="L79" s="1068"/>
      <c r="M79" s="1068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2" t="s">
        <v>151</v>
      </c>
      <c r="E88" s="582"/>
      <c r="J88" s="1064" t="s">
        <v>103</v>
      </c>
      <c r="K88" s="1064"/>
      <c r="L88" s="1064"/>
      <c r="M88" s="1064"/>
      <c r="N88" s="583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SX TM KIM DUNG PHÁT</v>
      </c>
      <c r="B1" s="373"/>
      <c r="C1" s="373"/>
      <c r="D1" s="373"/>
      <c r="E1" s="374"/>
      <c r="F1" s="1082" t="s">
        <v>226</v>
      </c>
      <c r="G1" s="1082"/>
      <c r="H1" s="1082"/>
      <c r="I1" s="1082"/>
      <c r="J1" s="1082"/>
      <c r="K1" s="376"/>
      <c r="L1" s="377"/>
    </row>
    <row r="2" spans="1:12" ht="15" customHeight="1">
      <c r="A2" s="615" t="str">
        <f>TH!A2</f>
        <v>Địa chỉ: 1A227/1 Ấp 1, Phạm Văn Hai, Bình Chánh, TPHCM</v>
      </c>
      <c r="B2" s="378"/>
      <c r="C2" s="378"/>
      <c r="D2" s="378"/>
      <c r="E2" s="379"/>
      <c r="F2" s="1081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1"/>
      <c r="H2" s="1081"/>
      <c r="I2" s="1081"/>
      <c r="J2" s="1081"/>
      <c r="K2" s="376"/>
    </row>
    <row r="3" spans="1:12" ht="15">
      <c r="A3" s="378"/>
      <c r="B3" s="378"/>
      <c r="C3" s="378"/>
      <c r="D3" s="378"/>
      <c r="E3" s="379"/>
      <c r="F3" s="1081"/>
      <c r="G3" s="1081"/>
      <c r="H3" s="1081"/>
      <c r="I3" s="1081"/>
      <c r="J3" s="1081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355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VLOOKUP($E$7,NXT!$C$12:$L$217,2,0)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3" t="s">
        <v>231</v>
      </c>
      <c r="B9" s="1084"/>
      <c r="C9" s="1084"/>
      <c r="D9" s="1084"/>
      <c r="E9" s="386"/>
      <c r="F9" s="380"/>
      <c r="G9" s="387"/>
      <c r="H9" s="387"/>
      <c r="I9" s="387"/>
      <c r="J9" s="388"/>
      <c r="K9" s="388"/>
    </row>
    <row r="10" spans="1:12" ht="19.5" customHeight="1">
      <c r="A10" s="1085" t="s">
        <v>232</v>
      </c>
      <c r="B10" s="1086" t="s">
        <v>233</v>
      </c>
      <c r="C10" s="1088" t="s">
        <v>15</v>
      </c>
      <c r="D10" s="1073"/>
      <c r="E10" s="1089" t="s">
        <v>0</v>
      </c>
      <c r="F10" s="1079" t="s">
        <v>234</v>
      </c>
      <c r="G10" s="1072" t="s">
        <v>203</v>
      </c>
      <c r="H10" s="1072"/>
      <c r="I10" s="1073"/>
      <c r="J10" s="1074" t="s">
        <v>235</v>
      </c>
      <c r="K10" s="389"/>
      <c r="L10" s="390" t="s">
        <v>220</v>
      </c>
    </row>
    <row r="11" spans="1:12" ht="19.5" customHeight="1">
      <c r="A11" s="1085"/>
      <c r="B11" s="1087"/>
      <c r="C11" s="391" t="s">
        <v>217</v>
      </c>
      <c r="D11" s="391" t="s">
        <v>218</v>
      </c>
      <c r="E11" s="1090"/>
      <c r="F11" s="1080"/>
      <c r="G11" s="392" t="s">
        <v>217</v>
      </c>
      <c r="H11" s="392" t="s">
        <v>218</v>
      </c>
      <c r="I11" s="392" t="s">
        <v>219</v>
      </c>
      <c r="J11" s="1075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VLOOKUP($E$7,NXT!$C$12:$L$217,3,0)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9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9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9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9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9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9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9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9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9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9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9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9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9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9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9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9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9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60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76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77"/>
      <c r="C35" s="1077"/>
      <c r="D35" s="1077"/>
      <c r="E35" s="1077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3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78" t="s">
        <v>12</v>
      </c>
      <c r="F37" s="1078"/>
      <c r="G37" s="387"/>
      <c r="I37" s="586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1" t="s">
        <v>13</v>
      </c>
      <c r="F38" s="1071"/>
      <c r="G38" s="387"/>
      <c r="I38" s="587" t="s">
        <v>136</v>
      </c>
      <c r="J38" s="585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8" t="s">
        <v>327</v>
      </c>
      <c r="H46" s="584"/>
      <c r="I46" s="583" t="s">
        <v>103</v>
      </c>
      <c r="J46" s="584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283"/>
  <sheetViews>
    <sheetView topLeftCell="A2" workbookViewId="0">
      <selection activeCell="N16" sqref="N16"/>
    </sheetView>
  </sheetViews>
  <sheetFormatPr defaultColWidth="10.28515625" defaultRowHeight="12.75"/>
  <cols>
    <col min="1" max="1" width="4.7109375" style="737" customWidth="1"/>
    <col min="2" max="2" width="23.140625" style="737" customWidth="1"/>
    <col min="3" max="3" width="10.140625" style="750" customWidth="1"/>
    <col min="4" max="4" width="9.5703125" style="751" customWidth="1"/>
    <col min="5" max="7" width="7.140625" style="787" customWidth="1"/>
    <col min="8" max="8" width="8.5703125" style="737" customWidth="1"/>
    <col min="9" max="10" width="8.42578125" style="737" customWidth="1"/>
    <col min="11" max="11" width="8" style="737" customWidth="1"/>
    <col min="12" max="12" width="7.140625" style="752" customWidth="1"/>
    <col min="13" max="13" width="2" style="749" customWidth="1"/>
    <col min="14" max="14" width="28.140625" style="737" customWidth="1"/>
    <col min="15" max="15" width="10.140625" style="750" customWidth="1"/>
    <col min="16" max="16" width="8.140625" style="787" customWidth="1"/>
    <col min="17" max="17" width="7.5703125" style="292" customWidth="1"/>
    <col min="18" max="18" width="12.42578125" style="737" customWidth="1"/>
    <col min="19" max="19" width="14.28515625" style="737" customWidth="1"/>
    <col min="20" max="16384" width="10.28515625" style="737"/>
  </cols>
  <sheetData>
    <row r="1" spans="1:19" ht="18" hidden="1" customHeight="1">
      <c r="A1" s="567" t="str">
        <f>TH!$A$1</f>
        <v>Đơn vị: CÔNG TY TNHH SX TM KIM DUNG PHÁT</v>
      </c>
      <c r="B1" s="738"/>
      <c r="C1" s="734"/>
      <c r="H1" s="292"/>
      <c r="I1" s="595"/>
      <c r="J1" s="595"/>
      <c r="K1" s="292"/>
      <c r="M1" s="752"/>
      <c r="N1" s="292"/>
      <c r="O1" s="734"/>
    </row>
    <row r="2" spans="1:19" ht="18.75" customHeight="1">
      <c r="A2" s="739" t="s">
        <v>498</v>
      </c>
      <c r="B2" s="739"/>
      <c r="C2" s="734"/>
      <c r="E2" s="835"/>
      <c r="F2" s="835"/>
      <c r="G2" s="835"/>
      <c r="H2" s="739"/>
      <c r="I2" s="739"/>
      <c r="J2" s="739"/>
      <c r="K2" s="739"/>
      <c r="M2" s="752"/>
      <c r="N2" s="292"/>
      <c r="O2" s="734"/>
    </row>
    <row r="3" spans="1:19" ht="12.75" customHeight="1">
      <c r="A3" s="781"/>
      <c r="B3" s="775"/>
      <c r="C3" s="781"/>
      <c r="D3" s="781"/>
      <c r="E3" s="836"/>
      <c r="F3" s="836"/>
      <c r="G3" s="836"/>
      <c r="H3" s="775"/>
      <c r="I3" s="754"/>
      <c r="J3" s="754"/>
      <c r="K3" s="775"/>
      <c r="M3" s="752"/>
      <c r="N3" s="747"/>
      <c r="O3" s="781"/>
      <c r="P3" s="788"/>
      <c r="Q3" s="755"/>
      <c r="R3" s="781"/>
      <c r="S3" s="747"/>
    </row>
    <row r="4" spans="1:19" s="442" customFormat="1" ht="21" customHeight="1">
      <c r="A4" s="1091" t="s">
        <v>35</v>
      </c>
      <c r="B4" s="1091" t="s">
        <v>239</v>
      </c>
      <c r="C4" s="1091" t="s">
        <v>448</v>
      </c>
      <c r="D4" s="1091" t="s">
        <v>449</v>
      </c>
      <c r="E4" s="1095" t="s">
        <v>450</v>
      </c>
      <c r="F4" s="1096"/>
      <c r="G4" s="1096"/>
      <c r="H4" s="1097"/>
      <c r="I4" s="1091" t="s">
        <v>240</v>
      </c>
      <c r="J4" s="1098" t="s">
        <v>460</v>
      </c>
      <c r="K4" s="1091" t="s">
        <v>454</v>
      </c>
      <c r="L4" s="441"/>
      <c r="M4" s="441"/>
      <c r="N4" s="1091" t="s">
        <v>239</v>
      </c>
      <c r="O4" s="1091" t="s">
        <v>455</v>
      </c>
      <c r="P4" s="1091" t="s">
        <v>198</v>
      </c>
      <c r="Q4" s="1091" t="s">
        <v>241</v>
      </c>
      <c r="R4" s="1091" t="s">
        <v>242</v>
      </c>
    </row>
    <row r="5" spans="1:19" s="442" customFormat="1" ht="21" customHeight="1">
      <c r="A5" s="1091"/>
      <c r="B5" s="1091"/>
      <c r="C5" s="1091"/>
      <c r="D5" s="1091"/>
      <c r="E5" s="789" t="s">
        <v>451</v>
      </c>
      <c r="F5" s="789" t="s">
        <v>452</v>
      </c>
      <c r="G5" s="789" t="s">
        <v>453</v>
      </c>
      <c r="H5" s="440" t="s">
        <v>458</v>
      </c>
      <c r="I5" s="1091"/>
      <c r="J5" s="1099"/>
      <c r="K5" s="1091"/>
      <c r="L5" s="441"/>
      <c r="M5" s="441"/>
      <c r="N5" s="1091"/>
      <c r="O5" s="1091"/>
      <c r="P5" s="1091"/>
      <c r="Q5" s="1091"/>
      <c r="R5" s="1091"/>
    </row>
    <row r="6" spans="1:19" ht="16.5" customHeight="1">
      <c r="A6" s="741">
        <f>IF(B6&lt;&gt;"",ROW()-(ROW()-1),"")</f>
        <v>1</v>
      </c>
      <c r="B6" s="294" t="s">
        <v>581</v>
      </c>
      <c r="C6" s="757">
        <v>42566</v>
      </c>
      <c r="D6" s="758" t="s">
        <v>580</v>
      </c>
      <c r="E6" s="837">
        <v>85.5</v>
      </c>
      <c r="F6" s="837">
        <v>100.5</v>
      </c>
      <c r="G6" s="837">
        <v>35</v>
      </c>
      <c r="H6" s="833">
        <f>ROUND(((E6+F6)*2*0.01+1.2)*((F6+G6)*0.01+0.3),2)</f>
        <v>8.14</v>
      </c>
      <c r="I6" s="742">
        <v>73</v>
      </c>
      <c r="J6" s="742">
        <f>H6*I6</f>
        <v>594.22</v>
      </c>
      <c r="K6" s="742">
        <f t="shared" ref="K6:K37" si="0">H6*$R$40</f>
        <v>31172.45393005302</v>
      </c>
      <c r="L6" s="658">
        <v>21849</v>
      </c>
      <c r="M6" s="756"/>
      <c r="N6" s="443" t="s">
        <v>490</v>
      </c>
      <c r="O6" s="757">
        <v>42529</v>
      </c>
      <c r="P6" s="304">
        <v>10288</v>
      </c>
      <c r="Q6" s="777">
        <v>7500</v>
      </c>
      <c r="R6" s="8">
        <f t="shared" ref="R6:R7" si="1">ROUND(P6*Q6,0)</f>
        <v>77160000</v>
      </c>
    </row>
    <row r="7" spans="1:19" ht="16.5" customHeight="1">
      <c r="A7" s="741">
        <f>IF(B7&lt;&gt;"",A6+1,"")</f>
        <v>2</v>
      </c>
      <c r="B7" s="296" t="s">
        <v>587</v>
      </c>
      <c r="C7" s="759">
        <v>42566</v>
      </c>
      <c r="D7" s="760" t="s">
        <v>584</v>
      </c>
      <c r="E7" s="838">
        <v>117</v>
      </c>
      <c r="F7" s="837">
        <v>87</v>
      </c>
      <c r="G7" s="837">
        <v>5</v>
      </c>
      <c r="H7" s="833">
        <f>ROUND(((E7+F7)*2*0.01+1.2)*((F7+G7)*0.01+0.3),2)</f>
        <v>6.44</v>
      </c>
      <c r="I7" s="256">
        <v>100</v>
      </c>
      <c r="J7" s="742">
        <f t="shared" ref="J7:J129" si="2">H7*I7</f>
        <v>644</v>
      </c>
      <c r="K7" s="742">
        <f t="shared" si="0"/>
        <v>24662.236278813445</v>
      </c>
      <c r="L7" s="658">
        <v>10000</v>
      </c>
      <c r="M7" s="756"/>
      <c r="N7" s="444" t="s">
        <v>490</v>
      </c>
      <c r="O7" s="757">
        <v>42542</v>
      </c>
      <c r="P7" s="790">
        <v>4094</v>
      </c>
      <c r="Q7" s="776">
        <v>7600</v>
      </c>
      <c r="R7" s="8">
        <f t="shared" si="1"/>
        <v>31114400</v>
      </c>
    </row>
    <row r="8" spans="1:19" ht="16.5" customHeight="1">
      <c r="A8" s="741">
        <f t="shared" ref="A8:A120" si="3">IF(B8&lt;&gt;"",A7+1,"")</f>
        <v>3</v>
      </c>
      <c r="B8" s="296" t="s">
        <v>588</v>
      </c>
      <c r="C8" s="759">
        <v>42566</v>
      </c>
      <c r="D8" s="760" t="s">
        <v>584</v>
      </c>
      <c r="E8" s="838">
        <v>103</v>
      </c>
      <c r="F8" s="837">
        <v>54</v>
      </c>
      <c r="G8" s="837">
        <v>180</v>
      </c>
      <c r="H8" s="833">
        <f t="shared" ref="H8:H129" si="4">ROUND(((E8+F8)*2*0.01+1.2)*((F8+G8)*0.01+0.3),2)</f>
        <v>11.46</v>
      </c>
      <c r="I8" s="256">
        <v>116</v>
      </c>
      <c r="J8" s="742">
        <f t="shared" si="2"/>
        <v>1329.3600000000001</v>
      </c>
      <c r="K8" s="742">
        <f t="shared" si="0"/>
        <v>43886.526048944426</v>
      </c>
      <c r="L8" s="658">
        <v>73100</v>
      </c>
      <c r="M8" s="756"/>
      <c r="N8" s="444" t="s">
        <v>492</v>
      </c>
      <c r="O8" s="757">
        <v>42542</v>
      </c>
      <c r="P8" s="790">
        <v>4522</v>
      </c>
      <c r="Q8" s="776">
        <v>8500</v>
      </c>
      <c r="R8" s="8">
        <f t="shared" ref="R8:R12" si="5">ROUND(P8*Q8,0)</f>
        <v>38437000</v>
      </c>
    </row>
    <row r="9" spans="1:19" ht="16.5" customHeight="1">
      <c r="A9" s="741">
        <f t="shared" si="3"/>
        <v>4</v>
      </c>
      <c r="B9" s="296" t="s">
        <v>590</v>
      </c>
      <c r="C9" s="759">
        <v>42566</v>
      </c>
      <c r="D9" s="760" t="s">
        <v>589</v>
      </c>
      <c r="E9" s="838">
        <v>88</v>
      </c>
      <c r="F9" s="837">
        <v>68</v>
      </c>
      <c r="G9" s="837">
        <v>15</v>
      </c>
      <c r="H9" s="833">
        <f t="shared" si="4"/>
        <v>4.88</v>
      </c>
      <c r="I9" s="256">
        <v>220</v>
      </c>
      <c r="J9" s="742">
        <f t="shared" si="2"/>
        <v>1073.5999999999999</v>
      </c>
      <c r="K9" s="742">
        <f t="shared" si="0"/>
        <v>18688.154198852422</v>
      </c>
      <c r="L9" s="658">
        <v>28000</v>
      </c>
      <c r="M9" s="756"/>
      <c r="N9" s="444" t="s">
        <v>537</v>
      </c>
      <c r="O9" s="757">
        <v>42542</v>
      </c>
      <c r="P9" s="790">
        <v>2633</v>
      </c>
      <c r="Q9" s="776">
        <v>8500</v>
      </c>
      <c r="R9" s="8">
        <f t="shared" si="5"/>
        <v>22380500</v>
      </c>
    </row>
    <row r="10" spans="1:19" ht="16.5" customHeight="1">
      <c r="A10" s="741">
        <f t="shared" si="3"/>
        <v>5</v>
      </c>
      <c r="B10" s="296" t="s">
        <v>591</v>
      </c>
      <c r="C10" s="759">
        <v>42566</v>
      </c>
      <c r="D10" s="760" t="s">
        <v>589</v>
      </c>
      <c r="E10" s="838">
        <v>47</v>
      </c>
      <c r="F10" s="837">
        <v>42</v>
      </c>
      <c r="G10" s="837">
        <v>25</v>
      </c>
      <c r="H10" s="833">
        <f t="shared" si="4"/>
        <v>2.89</v>
      </c>
      <c r="I10" s="256">
        <v>357</v>
      </c>
      <c r="J10" s="742">
        <f t="shared" si="2"/>
        <v>1031.73</v>
      </c>
      <c r="K10" s="742">
        <f t="shared" si="0"/>
        <v>11067.370007107276</v>
      </c>
      <c r="L10" s="658">
        <v>9600</v>
      </c>
      <c r="M10" s="756"/>
      <c r="N10" s="444" t="s">
        <v>490</v>
      </c>
      <c r="O10" s="757">
        <v>42551</v>
      </c>
      <c r="P10" s="790">
        <v>6226</v>
      </c>
      <c r="Q10" s="776">
        <v>7600</v>
      </c>
      <c r="R10" s="8">
        <f t="shared" si="5"/>
        <v>47317600</v>
      </c>
    </row>
    <row r="11" spans="1:19" ht="16.5" customHeight="1">
      <c r="A11" s="741">
        <f t="shared" si="3"/>
        <v>6</v>
      </c>
      <c r="B11" s="296" t="s">
        <v>592</v>
      </c>
      <c r="C11" s="759">
        <v>42566</v>
      </c>
      <c r="D11" s="760" t="s">
        <v>589</v>
      </c>
      <c r="E11" s="838">
        <v>48</v>
      </c>
      <c r="F11" s="837">
        <v>41</v>
      </c>
      <c r="G11" s="837">
        <v>29</v>
      </c>
      <c r="H11" s="833">
        <f t="shared" si="4"/>
        <v>2.98</v>
      </c>
      <c r="I11" s="256">
        <v>70</v>
      </c>
      <c r="J11" s="742">
        <f t="shared" si="2"/>
        <v>208.6</v>
      </c>
      <c r="K11" s="742">
        <f t="shared" si="0"/>
        <v>11412.028588643489</v>
      </c>
      <c r="L11" s="658">
        <v>14400</v>
      </c>
      <c r="M11" s="756"/>
      <c r="N11" s="444" t="s">
        <v>492</v>
      </c>
      <c r="O11" s="757">
        <v>42551</v>
      </c>
      <c r="P11" s="790">
        <v>8730</v>
      </c>
      <c r="Q11" s="776">
        <v>8500</v>
      </c>
      <c r="R11" s="8">
        <f t="shared" si="5"/>
        <v>74205000</v>
      </c>
    </row>
    <row r="12" spans="1:19" ht="16.5" customHeight="1">
      <c r="A12" s="741">
        <f t="shared" si="3"/>
        <v>7</v>
      </c>
      <c r="B12" s="296" t="s">
        <v>594</v>
      </c>
      <c r="C12" s="759">
        <v>42567</v>
      </c>
      <c r="D12" s="760" t="s">
        <v>593</v>
      </c>
      <c r="E12" s="838">
        <v>45</v>
      </c>
      <c r="F12" s="837">
        <v>37</v>
      </c>
      <c r="G12" s="837">
        <v>27.5</v>
      </c>
      <c r="H12" s="833">
        <f t="shared" si="4"/>
        <v>2.68</v>
      </c>
      <c r="I12" s="256">
        <v>300</v>
      </c>
      <c r="J12" s="742">
        <f t="shared" si="2"/>
        <v>804</v>
      </c>
      <c r="K12" s="742">
        <f t="shared" si="0"/>
        <v>10263.166650189447</v>
      </c>
      <c r="L12" s="658">
        <v>13400</v>
      </c>
      <c r="M12" s="756"/>
      <c r="N12" s="444" t="s">
        <v>537</v>
      </c>
      <c r="O12" s="757">
        <v>42551</v>
      </c>
      <c r="P12" s="790">
        <v>8191</v>
      </c>
      <c r="Q12" s="776">
        <v>8500</v>
      </c>
      <c r="R12" s="8">
        <f t="shared" si="5"/>
        <v>69623500</v>
      </c>
    </row>
    <row r="13" spans="1:19" ht="16.5" customHeight="1">
      <c r="A13" s="741">
        <f t="shared" si="3"/>
        <v>8</v>
      </c>
      <c r="B13" s="296" t="s">
        <v>594</v>
      </c>
      <c r="C13" s="759">
        <v>42567</v>
      </c>
      <c r="D13" s="760" t="s">
        <v>593</v>
      </c>
      <c r="E13" s="838">
        <v>45</v>
      </c>
      <c r="F13" s="837">
        <v>37</v>
      </c>
      <c r="G13" s="837">
        <v>27.5</v>
      </c>
      <c r="H13" s="833">
        <f t="shared" si="4"/>
        <v>2.68</v>
      </c>
      <c r="I13" s="256">
        <v>500</v>
      </c>
      <c r="J13" s="742">
        <f t="shared" si="2"/>
        <v>1340</v>
      </c>
      <c r="K13" s="742">
        <f t="shared" si="0"/>
        <v>10263.166650189447</v>
      </c>
      <c r="L13" s="658">
        <v>13800</v>
      </c>
      <c r="M13" s="756"/>
      <c r="N13" s="444" t="s">
        <v>490</v>
      </c>
      <c r="O13" s="757">
        <v>42563</v>
      </c>
      <c r="P13" s="790">
        <v>11536</v>
      </c>
      <c r="Q13" s="776">
        <v>7600</v>
      </c>
      <c r="R13" s="8">
        <f t="shared" ref="R13" si="6">ROUND(P13*Q13,0)</f>
        <v>87673600</v>
      </c>
    </row>
    <row r="14" spans="1:19" ht="16.5" customHeight="1">
      <c r="A14" s="741">
        <f t="shared" si="3"/>
        <v>9</v>
      </c>
      <c r="B14" s="296" t="s">
        <v>440</v>
      </c>
      <c r="C14" s="759">
        <v>42567</v>
      </c>
      <c r="D14" s="760" t="s">
        <v>593</v>
      </c>
      <c r="E14" s="838">
        <v>44</v>
      </c>
      <c r="F14" s="837">
        <v>20</v>
      </c>
      <c r="G14" s="837"/>
      <c r="H14" s="833">
        <f t="shared" si="4"/>
        <v>1.24</v>
      </c>
      <c r="I14" s="256">
        <v>1600</v>
      </c>
      <c r="J14" s="742">
        <f t="shared" si="2"/>
        <v>1984</v>
      </c>
      <c r="K14" s="742">
        <f t="shared" si="0"/>
        <v>4748.629345610042</v>
      </c>
      <c r="L14" s="658">
        <v>1300</v>
      </c>
      <c r="M14" s="756"/>
      <c r="N14" s="444"/>
      <c r="O14" s="757"/>
      <c r="P14" s="790"/>
      <c r="Q14" s="776"/>
      <c r="R14" s="8">
        <f t="shared" ref="R14:R21" si="7">ROUND(P14*Q14,0)</f>
        <v>0</v>
      </c>
    </row>
    <row r="15" spans="1:19" ht="16.5" customHeight="1">
      <c r="A15" s="741">
        <f t="shared" si="3"/>
        <v>10</v>
      </c>
      <c r="B15" s="296" t="s">
        <v>596</v>
      </c>
      <c r="C15" s="759">
        <v>42567</v>
      </c>
      <c r="D15" s="760" t="s">
        <v>595</v>
      </c>
      <c r="E15" s="838">
        <v>55</v>
      </c>
      <c r="F15" s="837">
        <v>28</v>
      </c>
      <c r="G15" s="837">
        <v>23.5</v>
      </c>
      <c r="H15" s="833">
        <f t="shared" si="4"/>
        <v>2.33</v>
      </c>
      <c r="I15" s="256">
        <v>1005</v>
      </c>
      <c r="J15" s="742">
        <f t="shared" si="2"/>
        <v>2341.65</v>
      </c>
      <c r="K15" s="742">
        <f t="shared" si="0"/>
        <v>8922.8277219930624</v>
      </c>
      <c r="L15" s="658">
        <v>11000</v>
      </c>
      <c r="M15" s="756"/>
      <c r="N15" s="444"/>
      <c r="O15" s="757"/>
      <c r="P15" s="790"/>
      <c r="Q15" s="776"/>
      <c r="R15" s="8">
        <f t="shared" si="7"/>
        <v>0</v>
      </c>
    </row>
    <row r="16" spans="1:19" ht="16.5" customHeight="1">
      <c r="A16" s="741">
        <f t="shared" si="3"/>
        <v>11</v>
      </c>
      <c r="B16" s="296" t="s">
        <v>598</v>
      </c>
      <c r="C16" s="759">
        <v>42569</v>
      </c>
      <c r="D16" s="760" t="s">
        <v>597</v>
      </c>
      <c r="E16" s="838">
        <v>37.5</v>
      </c>
      <c r="F16" s="837">
        <v>23.5</v>
      </c>
      <c r="G16" s="837">
        <v>69.5</v>
      </c>
      <c r="H16" s="833">
        <f t="shared" si="4"/>
        <v>2.98</v>
      </c>
      <c r="I16" s="256">
        <v>254</v>
      </c>
      <c r="J16" s="742">
        <f t="shared" si="2"/>
        <v>756.92</v>
      </c>
      <c r="K16" s="742">
        <f t="shared" si="0"/>
        <v>11412.028588643489</v>
      </c>
      <c r="L16" s="658">
        <v>10300</v>
      </c>
      <c r="M16" s="756"/>
      <c r="N16" s="444"/>
      <c r="O16" s="757"/>
      <c r="P16" s="790"/>
      <c r="Q16" s="776"/>
      <c r="R16" s="8">
        <f t="shared" si="7"/>
        <v>0</v>
      </c>
    </row>
    <row r="17" spans="1:18" ht="16.5" customHeight="1">
      <c r="A17" s="741">
        <f t="shared" si="3"/>
        <v>12</v>
      </c>
      <c r="B17" s="296" t="s">
        <v>600</v>
      </c>
      <c r="C17" s="759">
        <v>42569</v>
      </c>
      <c r="D17" s="760" t="s">
        <v>599</v>
      </c>
      <c r="E17" s="838">
        <v>40</v>
      </c>
      <c r="F17" s="837">
        <v>25</v>
      </c>
      <c r="G17" s="837">
        <v>72</v>
      </c>
      <c r="H17" s="833">
        <f t="shared" si="4"/>
        <v>3.18</v>
      </c>
      <c r="I17" s="256">
        <v>75</v>
      </c>
      <c r="J17" s="742">
        <f t="shared" si="2"/>
        <v>238.5</v>
      </c>
      <c r="K17" s="742">
        <f t="shared" si="0"/>
        <v>12177.93654761285</v>
      </c>
      <c r="L17" s="658">
        <v>10800</v>
      </c>
      <c r="M17" s="756"/>
      <c r="N17" s="444"/>
      <c r="O17" s="757"/>
      <c r="P17" s="790"/>
      <c r="Q17" s="776"/>
      <c r="R17" s="8">
        <f t="shared" si="7"/>
        <v>0</v>
      </c>
    </row>
    <row r="18" spans="1:18" ht="16.5" customHeight="1">
      <c r="A18" s="741">
        <f t="shared" si="3"/>
        <v>13</v>
      </c>
      <c r="B18" s="296" t="s">
        <v>604</v>
      </c>
      <c r="C18" s="759">
        <v>42571</v>
      </c>
      <c r="D18" s="760" t="s">
        <v>602</v>
      </c>
      <c r="E18" s="838">
        <v>70</v>
      </c>
      <c r="F18" s="837">
        <v>45</v>
      </c>
      <c r="G18" s="837"/>
      <c r="H18" s="833">
        <f t="shared" si="4"/>
        <v>2.63</v>
      </c>
      <c r="I18" s="256">
        <v>500</v>
      </c>
      <c r="J18" s="742">
        <f t="shared" si="2"/>
        <v>1315</v>
      </c>
      <c r="K18" s="742">
        <f t="shared" si="0"/>
        <v>10071.689660447104</v>
      </c>
      <c r="L18" s="658">
        <v>3200</v>
      </c>
      <c r="M18" s="756"/>
      <c r="N18" s="444"/>
      <c r="O18" s="757"/>
      <c r="P18" s="790"/>
      <c r="Q18" s="776"/>
      <c r="R18" s="8">
        <f t="shared" si="7"/>
        <v>0</v>
      </c>
    </row>
    <row r="19" spans="1:18" ht="16.5" customHeight="1">
      <c r="A19" s="741">
        <f t="shared" si="3"/>
        <v>14</v>
      </c>
      <c r="B19" s="296" t="s">
        <v>605</v>
      </c>
      <c r="C19" s="759">
        <v>42571</v>
      </c>
      <c r="D19" s="760" t="s">
        <v>602</v>
      </c>
      <c r="E19" s="838">
        <v>50</v>
      </c>
      <c r="F19" s="837">
        <v>40</v>
      </c>
      <c r="G19" s="837"/>
      <c r="H19" s="833">
        <f t="shared" si="4"/>
        <v>2.1</v>
      </c>
      <c r="I19" s="256">
        <v>300</v>
      </c>
      <c r="J19" s="742">
        <f t="shared" si="2"/>
        <v>630</v>
      </c>
      <c r="K19" s="742">
        <f t="shared" si="0"/>
        <v>8042.0335691782975</v>
      </c>
      <c r="L19" s="658">
        <v>2200</v>
      </c>
      <c r="M19" s="756"/>
      <c r="N19" s="444"/>
      <c r="O19" s="757"/>
      <c r="P19" s="790"/>
      <c r="Q19" s="776"/>
      <c r="R19" s="8">
        <f t="shared" si="7"/>
        <v>0</v>
      </c>
    </row>
    <row r="20" spans="1:18" ht="16.5" customHeight="1">
      <c r="A20" s="741">
        <f t="shared" si="3"/>
        <v>15</v>
      </c>
      <c r="B20" s="296" t="s">
        <v>608</v>
      </c>
      <c r="C20" s="759">
        <v>42571</v>
      </c>
      <c r="D20" s="760" t="s">
        <v>606</v>
      </c>
      <c r="E20" s="838">
        <v>37.5</v>
      </c>
      <c r="F20" s="837">
        <v>25.5</v>
      </c>
      <c r="G20" s="837">
        <v>23.9</v>
      </c>
      <c r="H20" s="833">
        <f t="shared" si="4"/>
        <v>1.95</v>
      </c>
      <c r="I20" s="256">
        <v>1559</v>
      </c>
      <c r="J20" s="742">
        <f t="shared" si="2"/>
        <v>3040.0499999999997</v>
      </c>
      <c r="K20" s="742">
        <f t="shared" si="0"/>
        <v>7467.6025999512758</v>
      </c>
      <c r="L20" s="658">
        <v>5900</v>
      </c>
      <c r="M20" s="756"/>
      <c r="N20" s="444"/>
      <c r="O20" s="757"/>
      <c r="P20" s="790"/>
      <c r="Q20" s="776"/>
      <c r="R20" s="8">
        <f t="shared" si="7"/>
        <v>0</v>
      </c>
    </row>
    <row r="21" spans="1:18" ht="16.5" customHeight="1">
      <c r="A21" s="741">
        <f t="shared" si="3"/>
        <v>16</v>
      </c>
      <c r="B21" s="296" t="s">
        <v>610</v>
      </c>
      <c r="C21" s="759">
        <v>42572</v>
      </c>
      <c r="D21" s="760" t="s">
        <v>607</v>
      </c>
      <c r="E21" s="838">
        <v>72</v>
      </c>
      <c r="F21" s="837">
        <v>51.5</v>
      </c>
      <c r="G21" s="837">
        <v>40</v>
      </c>
      <c r="H21" s="833">
        <f t="shared" si="4"/>
        <v>4.46</v>
      </c>
      <c r="I21" s="256">
        <v>102</v>
      </c>
      <c r="J21" s="742">
        <f t="shared" si="2"/>
        <v>454.92</v>
      </c>
      <c r="K21" s="742">
        <f t="shared" si="0"/>
        <v>17079.747485016764</v>
      </c>
      <c r="L21" s="658">
        <v>7900</v>
      </c>
      <c r="M21" s="756"/>
      <c r="N21" s="444"/>
      <c r="O21" s="757"/>
      <c r="P21" s="790"/>
      <c r="Q21" s="776"/>
      <c r="R21" s="8">
        <f t="shared" si="7"/>
        <v>0</v>
      </c>
    </row>
    <row r="22" spans="1:18" ht="16.5" customHeight="1">
      <c r="A22" s="741">
        <f t="shared" si="3"/>
        <v>17</v>
      </c>
      <c r="B22" s="296" t="s">
        <v>609</v>
      </c>
      <c r="C22" s="759">
        <v>42572</v>
      </c>
      <c r="D22" s="760" t="s">
        <v>607</v>
      </c>
      <c r="E22" s="838">
        <v>49.5</v>
      </c>
      <c r="F22" s="837">
        <v>38.5</v>
      </c>
      <c r="G22" s="837">
        <v>32.5</v>
      </c>
      <c r="H22" s="833">
        <f t="shared" si="4"/>
        <v>2.99</v>
      </c>
      <c r="I22" s="256">
        <v>103</v>
      </c>
      <c r="J22" s="742">
        <f t="shared" si="2"/>
        <v>307.97000000000003</v>
      </c>
      <c r="K22" s="742">
        <f t="shared" si="0"/>
        <v>11450.323986591957</v>
      </c>
      <c r="L22" s="658">
        <v>12900</v>
      </c>
      <c r="M22" s="756"/>
      <c r="N22" s="444"/>
      <c r="O22" s="757"/>
      <c r="P22" s="790"/>
      <c r="Q22" s="776"/>
      <c r="R22" s="8"/>
    </row>
    <row r="23" spans="1:18" ht="16.5" customHeight="1">
      <c r="A23" s="741">
        <f t="shared" si="3"/>
        <v>18</v>
      </c>
      <c r="B23" s="296" t="s">
        <v>430</v>
      </c>
      <c r="C23" s="759">
        <v>42573</v>
      </c>
      <c r="D23" s="760" t="s">
        <v>611</v>
      </c>
      <c r="E23" s="838"/>
      <c r="F23" s="837"/>
      <c r="G23" s="837"/>
      <c r="H23" s="833">
        <f t="shared" si="4"/>
        <v>0.36</v>
      </c>
      <c r="I23" s="256">
        <v>250</v>
      </c>
      <c r="J23" s="742">
        <f t="shared" si="2"/>
        <v>90</v>
      </c>
      <c r="K23" s="742">
        <f t="shared" si="0"/>
        <v>1378.6343261448508</v>
      </c>
      <c r="L23" s="658">
        <v>12400</v>
      </c>
      <c r="M23" s="756"/>
      <c r="N23" s="829" t="s">
        <v>442</v>
      </c>
      <c r="O23" s="830"/>
      <c r="P23" s="831"/>
      <c r="Q23" s="529"/>
      <c r="R23" s="529">
        <f>SUM(R6:R22)</f>
        <v>447911600</v>
      </c>
    </row>
    <row r="24" spans="1:18" ht="16.5" customHeight="1">
      <c r="A24" s="741">
        <f t="shared" si="3"/>
        <v>19</v>
      </c>
      <c r="B24" s="296" t="s">
        <v>431</v>
      </c>
      <c r="C24" s="759">
        <v>42573</v>
      </c>
      <c r="D24" s="760" t="s">
        <v>611</v>
      </c>
      <c r="E24" s="838"/>
      <c r="F24" s="837"/>
      <c r="G24" s="837"/>
      <c r="H24" s="833">
        <f t="shared" si="4"/>
        <v>0.36</v>
      </c>
      <c r="I24" s="256">
        <v>200</v>
      </c>
      <c r="J24" s="742">
        <f t="shared" si="2"/>
        <v>72</v>
      </c>
      <c r="K24" s="742">
        <f t="shared" si="0"/>
        <v>1378.6343261448508</v>
      </c>
      <c r="L24" s="658">
        <v>14200</v>
      </c>
      <c r="M24" s="756"/>
      <c r="N24" s="188" t="s">
        <v>531</v>
      </c>
      <c r="O24" s="759">
        <v>42595</v>
      </c>
      <c r="P24" s="776">
        <v>19810</v>
      </c>
      <c r="Q24" s="776">
        <v>780</v>
      </c>
      <c r="R24" s="8">
        <f t="shared" ref="R24" si="8">ROUND(P24*Q24,0)</f>
        <v>15451800</v>
      </c>
    </row>
    <row r="25" spans="1:18" ht="16.5" customHeight="1">
      <c r="A25" s="741">
        <f t="shared" si="3"/>
        <v>20</v>
      </c>
      <c r="B25" s="296" t="s">
        <v>433</v>
      </c>
      <c r="C25" s="759">
        <v>42573</v>
      </c>
      <c r="D25" s="760" t="s">
        <v>611</v>
      </c>
      <c r="E25" s="838"/>
      <c r="F25" s="837"/>
      <c r="G25" s="837"/>
      <c r="H25" s="833">
        <f t="shared" si="4"/>
        <v>0.36</v>
      </c>
      <c r="I25" s="256">
        <v>300</v>
      </c>
      <c r="J25" s="742">
        <f t="shared" si="2"/>
        <v>108</v>
      </c>
      <c r="K25" s="742">
        <f t="shared" si="0"/>
        <v>1378.6343261448508</v>
      </c>
      <c r="L25" s="658">
        <v>16500</v>
      </c>
      <c r="M25" s="756"/>
      <c r="N25" s="188"/>
      <c r="O25" s="190"/>
      <c r="P25" s="255"/>
      <c r="Q25" s="255"/>
      <c r="R25" s="8">
        <f t="shared" ref="R25:R26" si="9">ROUND(P25*Q25,0)</f>
        <v>0</v>
      </c>
    </row>
    <row r="26" spans="1:18" ht="16.5" customHeight="1">
      <c r="A26" s="741">
        <f t="shared" si="3"/>
        <v>21</v>
      </c>
      <c r="B26" s="296" t="s">
        <v>434</v>
      </c>
      <c r="C26" s="759">
        <v>42573</v>
      </c>
      <c r="D26" s="760" t="s">
        <v>611</v>
      </c>
      <c r="E26" s="838"/>
      <c r="F26" s="837"/>
      <c r="G26" s="837"/>
      <c r="H26" s="833">
        <f t="shared" si="4"/>
        <v>0.36</v>
      </c>
      <c r="I26" s="256">
        <v>300</v>
      </c>
      <c r="J26" s="742">
        <f t="shared" si="2"/>
        <v>108</v>
      </c>
      <c r="K26" s="742">
        <f t="shared" si="0"/>
        <v>1378.6343261448508</v>
      </c>
      <c r="L26" s="658">
        <v>24500</v>
      </c>
      <c r="M26" s="756"/>
      <c r="N26" s="188"/>
      <c r="O26" s="759"/>
      <c r="P26" s="255"/>
      <c r="Q26" s="255"/>
      <c r="R26" s="8">
        <f t="shared" si="9"/>
        <v>0</v>
      </c>
    </row>
    <row r="27" spans="1:18" ht="16.5" customHeight="1">
      <c r="A27" s="741">
        <f t="shared" si="3"/>
        <v>22</v>
      </c>
      <c r="B27" s="296" t="s">
        <v>435</v>
      </c>
      <c r="C27" s="759">
        <v>42573</v>
      </c>
      <c r="D27" s="760" t="s">
        <v>611</v>
      </c>
      <c r="E27" s="838"/>
      <c r="F27" s="837"/>
      <c r="G27" s="837"/>
      <c r="H27" s="833">
        <f t="shared" si="4"/>
        <v>0.36</v>
      </c>
      <c r="I27" s="256">
        <v>200</v>
      </c>
      <c r="J27" s="742">
        <f t="shared" si="2"/>
        <v>72</v>
      </c>
      <c r="K27" s="742">
        <f t="shared" si="0"/>
        <v>1378.6343261448508</v>
      </c>
      <c r="L27" s="658">
        <v>25500</v>
      </c>
      <c r="M27" s="756"/>
      <c r="N27" s="188"/>
      <c r="O27" s="759"/>
      <c r="P27" s="255"/>
      <c r="Q27" s="255"/>
      <c r="R27" s="8">
        <f t="shared" ref="R27" si="10">ROUND(P27*Q27,0)</f>
        <v>0</v>
      </c>
    </row>
    <row r="28" spans="1:18" ht="16.5" customHeight="1">
      <c r="A28" s="741">
        <f t="shared" si="3"/>
        <v>23</v>
      </c>
      <c r="B28" s="296" t="s">
        <v>585</v>
      </c>
      <c r="C28" s="759">
        <v>42574</v>
      </c>
      <c r="D28" s="760" t="s">
        <v>612</v>
      </c>
      <c r="E28" s="838"/>
      <c r="F28" s="837"/>
      <c r="G28" s="837"/>
      <c r="H28" s="833">
        <f t="shared" si="4"/>
        <v>0.36</v>
      </c>
      <c r="I28" s="256">
        <v>530</v>
      </c>
      <c r="J28" s="742">
        <f t="shared" si="2"/>
        <v>190.79999999999998</v>
      </c>
      <c r="K28" s="742">
        <f t="shared" si="0"/>
        <v>1378.6343261448508</v>
      </c>
      <c r="L28" s="658">
        <v>17800</v>
      </c>
      <c r="M28" s="756"/>
      <c r="N28" s="444"/>
      <c r="O28" s="757"/>
      <c r="P28" s="790"/>
      <c r="Q28" s="776"/>
      <c r="R28" s="8"/>
    </row>
    <row r="29" spans="1:18" ht="16.5" customHeight="1">
      <c r="A29" s="741">
        <f t="shared" si="3"/>
        <v>24</v>
      </c>
      <c r="B29" s="296" t="s">
        <v>591</v>
      </c>
      <c r="C29" s="759">
        <v>42574</v>
      </c>
      <c r="D29" s="760" t="s">
        <v>612</v>
      </c>
      <c r="E29" s="838">
        <v>47</v>
      </c>
      <c r="F29" s="837">
        <v>42</v>
      </c>
      <c r="G29" s="837">
        <v>25</v>
      </c>
      <c r="H29" s="833">
        <f t="shared" si="4"/>
        <v>2.89</v>
      </c>
      <c r="I29" s="256">
        <v>33</v>
      </c>
      <c r="J29" s="742">
        <f t="shared" si="2"/>
        <v>95.37</v>
      </c>
      <c r="K29" s="742">
        <f t="shared" si="0"/>
        <v>11067.370007107276</v>
      </c>
      <c r="L29" s="658">
        <v>9600</v>
      </c>
      <c r="M29" s="756"/>
      <c r="N29" s="829" t="s">
        <v>443</v>
      </c>
      <c r="O29" s="830"/>
      <c r="P29" s="831"/>
      <c r="Q29" s="529"/>
      <c r="R29" s="529">
        <f>SUM(R24:R28)</f>
        <v>15451800</v>
      </c>
    </row>
    <row r="30" spans="1:18" ht="16.5" customHeight="1">
      <c r="A30" s="741">
        <f t="shared" si="3"/>
        <v>25</v>
      </c>
      <c r="B30" s="296" t="s">
        <v>585</v>
      </c>
      <c r="C30" s="759">
        <v>42574</v>
      </c>
      <c r="D30" s="760" t="s">
        <v>612</v>
      </c>
      <c r="E30" s="838"/>
      <c r="F30" s="837"/>
      <c r="G30" s="837"/>
      <c r="H30" s="833">
        <f t="shared" si="4"/>
        <v>0.36</v>
      </c>
      <c r="I30" s="256">
        <v>630</v>
      </c>
      <c r="J30" s="742">
        <f t="shared" si="2"/>
        <v>226.79999999999998</v>
      </c>
      <c r="K30" s="742">
        <f t="shared" si="0"/>
        <v>1378.6343261448508</v>
      </c>
      <c r="L30" s="658">
        <v>9700</v>
      </c>
      <c r="M30" s="756"/>
      <c r="N30" s="444" t="s">
        <v>444</v>
      </c>
      <c r="O30" s="757"/>
      <c r="P30" s="790"/>
      <c r="Q30" s="776"/>
      <c r="R30" s="8">
        <f>R23</f>
        <v>447911600</v>
      </c>
    </row>
    <row r="31" spans="1:18" ht="16.5" customHeight="1">
      <c r="A31" s="741">
        <f t="shared" si="3"/>
        <v>26</v>
      </c>
      <c r="B31" s="296" t="s">
        <v>585</v>
      </c>
      <c r="C31" s="759">
        <v>42574</v>
      </c>
      <c r="D31" s="760" t="s">
        <v>612</v>
      </c>
      <c r="E31" s="838"/>
      <c r="F31" s="837"/>
      <c r="G31" s="837"/>
      <c r="H31" s="833">
        <f t="shared" si="4"/>
        <v>0.36</v>
      </c>
      <c r="I31" s="256">
        <v>352</v>
      </c>
      <c r="J31" s="742">
        <f t="shared" si="2"/>
        <v>126.72</v>
      </c>
      <c r="K31" s="742">
        <f t="shared" si="0"/>
        <v>1378.6343261448508</v>
      </c>
      <c r="L31" s="658">
        <v>13700</v>
      </c>
      <c r="M31" s="756"/>
      <c r="N31" s="444" t="s">
        <v>445</v>
      </c>
      <c r="O31" s="757"/>
      <c r="P31" s="790"/>
      <c r="Q31" s="776"/>
      <c r="R31" s="8">
        <f>R29</f>
        <v>15451800</v>
      </c>
    </row>
    <row r="32" spans="1:18" ht="16.5" customHeight="1">
      <c r="A32" s="741">
        <f t="shared" si="3"/>
        <v>27</v>
      </c>
      <c r="B32" s="296" t="s">
        <v>614</v>
      </c>
      <c r="C32" s="759">
        <v>42574</v>
      </c>
      <c r="D32" s="760" t="s">
        <v>613</v>
      </c>
      <c r="E32" s="838">
        <v>48</v>
      </c>
      <c r="F32" s="837">
        <v>40</v>
      </c>
      <c r="G32" s="837">
        <v>18</v>
      </c>
      <c r="H32" s="833">
        <f t="shared" si="4"/>
        <v>2.6</v>
      </c>
      <c r="I32" s="256">
        <v>350</v>
      </c>
      <c r="J32" s="742">
        <f t="shared" si="2"/>
        <v>910</v>
      </c>
      <c r="K32" s="742">
        <f t="shared" si="0"/>
        <v>9956.8034666017011</v>
      </c>
      <c r="L32" s="658">
        <v>13600</v>
      </c>
      <c r="M32" s="756"/>
      <c r="N32" s="444" t="s">
        <v>447</v>
      </c>
      <c r="O32" s="757"/>
      <c r="P32" s="790"/>
      <c r="Q32" s="776"/>
      <c r="R32" s="8">
        <v>8050000</v>
      </c>
    </row>
    <row r="33" spans="1:18" ht="16.5" customHeight="1">
      <c r="A33" s="741">
        <f t="shared" si="3"/>
        <v>28</v>
      </c>
      <c r="B33" s="296" t="s">
        <v>616</v>
      </c>
      <c r="C33" s="759">
        <v>42577</v>
      </c>
      <c r="D33" s="760" t="s">
        <v>615</v>
      </c>
      <c r="E33" s="838">
        <v>39.5</v>
      </c>
      <c r="F33" s="837">
        <v>26.5</v>
      </c>
      <c r="G33" s="837">
        <v>29.5</v>
      </c>
      <c r="H33" s="833">
        <f t="shared" si="4"/>
        <v>2.17</v>
      </c>
      <c r="I33" s="256">
        <v>473</v>
      </c>
      <c r="J33" s="742">
        <f t="shared" si="2"/>
        <v>1026.4099999999999</v>
      </c>
      <c r="K33" s="742">
        <f t="shared" si="0"/>
        <v>8310.1013548175724</v>
      </c>
      <c r="L33" s="658">
        <v>13000</v>
      </c>
      <c r="M33" s="756"/>
      <c r="N33" s="444" t="s">
        <v>446</v>
      </c>
      <c r="O33" s="757"/>
      <c r="P33" s="790"/>
      <c r="Q33" s="776"/>
      <c r="R33" s="8"/>
    </row>
    <row r="34" spans="1:18" ht="16.5" customHeight="1">
      <c r="A34" s="741">
        <f t="shared" si="3"/>
        <v>29</v>
      </c>
      <c r="B34" s="296" t="s">
        <v>618</v>
      </c>
      <c r="C34" s="759">
        <v>42580</v>
      </c>
      <c r="D34" s="760" t="s">
        <v>617</v>
      </c>
      <c r="E34" s="838">
        <v>49</v>
      </c>
      <c r="F34" s="837">
        <v>38</v>
      </c>
      <c r="G34" s="837">
        <v>12</v>
      </c>
      <c r="H34" s="833">
        <f t="shared" si="4"/>
        <v>2.35</v>
      </c>
      <c r="I34" s="256">
        <v>302</v>
      </c>
      <c r="J34" s="742">
        <f t="shared" si="2"/>
        <v>709.7</v>
      </c>
      <c r="K34" s="742">
        <f t="shared" si="0"/>
        <v>8999.4185178899988</v>
      </c>
      <c r="L34" s="658">
        <v>10500</v>
      </c>
      <c r="M34" s="756"/>
      <c r="N34" s="444" t="s">
        <v>459</v>
      </c>
      <c r="O34" s="757"/>
      <c r="P34" s="790"/>
      <c r="Q34" s="776"/>
      <c r="R34" s="8"/>
    </row>
    <row r="35" spans="1:18" ht="16.5" customHeight="1">
      <c r="A35" s="741">
        <f t="shared" si="3"/>
        <v>30</v>
      </c>
      <c r="B35" s="296" t="s">
        <v>619</v>
      </c>
      <c r="C35" s="759">
        <v>42580</v>
      </c>
      <c r="D35" s="760" t="s">
        <v>617</v>
      </c>
      <c r="E35" s="838">
        <v>49</v>
      </c>
      <c r="F35" s="837">
        <v>38</v>
      </c>
      <c r="G35" s="837">
        <v>13</v>
      </c>
      <c r="H35" s="833">
        <f t="shared" si="4"/>
        <v>2.38</v>
      </c>
      <c r="I35" s="256">
        <v>527</v>
      </c>
      <c r="J35" s="742">
        <f t="shared" si="2"/>
        <v>1254.26</v>
      </c>
      <c r="K35" s="742">
        <f t="shared" si="0"/>
        <v>9114.3047117354035</v>
      </c>
      <c r="L35" s="658">
        <v>10500</v>
      </c>
      <c r="M35" s="756"/>
      <c r="N35" s="191"/>
      <c r="O35" s="757"/>
      <c r="P35" s="790"/>
      <c r="Q35" s="776"/>
      <c r="R35" s="8"/>
    </row>
    <row r="36" spans="1:18" ht="16.5" customHeight="1">
      <c r="A36" s="741">
        <f t="shared" si="3"/>
        <v>31</v>
      </c>
      <c r="B36" s="296" t="s">
        <v>434</v>
      </c>
      <c r="C36" s="759">
        <v>42580</v>
      </c>
      <c r="D36" s="760" t="s">
        <v>620</v>
      </c>
      <c r="E36" s="838"/>
      <c r="F36" s="837"/>
      <c r="G36" s="837"/>
      <c r="H36" s="833">
        <f t="shared" si="4"/>
        <v>0.36</v>
      </c>
      <c r="I36" s="256">
        <v>100</v>
      </c>
      <c r="J36" s="742">
        <f t="shared" si="2"/>
        <v>36</v>
      </c>
      <c r="K36" s="742">
        <f t="shared" si="0"/>
        <v>1378.6343261448508</v>
      </c>
      <c r="L36" s="658">
        <v>19700</v>
      </c>
      <c r="M36" s="756"/>
      <c r="N36" s="444"/>
      <c r="O36" s="757"/>
      <c r="P36" s="790"/>
      <c r="Q36" s="776"/>
      <c r="R36" s="8"/>
    </row>
    <row r="37" spans="1:18" ht="16.5" customHeight="1">
      <c r="A37" s="741">
        <f t="shared" si="3"/>
        <v>32</v>
      </c>
      <c r="B37" s="296" t="s">
        <v>435</v>
      </c>
      <c r="C37" s="759">
        <v>42580</v>
      </c>
      <c r="D37" s="760" t="s">
        <v>620</v>
      </c>
      <c r="E37" s="838"/>
      <c r="F37" s="837"/>
      <c r="G37" s="837"/>
      <c r="H37" s="833">
        <f t="shared" si="4"/>
        <v>0.36</v>
      </c>
      <c r="I37" s="256">
        <v>100</v>
      </c>
      <c r="J37" s="742">
        <f t="shared" si="2"/>
        <v>36</v>
      </c>
      <c r="K37" s="742">
        <f t="shared" si="0"/>
        <v>1378.6343261448508</v>
      </c>
      <c r="L37" s="658">
        <v>20100</v>
      </c>
      <c r="M37" s="756"/>
      <c r="N37" s="829" t="s">
        <v>456</v>
      </c>
      <c r="O37" s="830"/>
      <c r="P37" s="831"/>
      <c r="Q37" s="529"/>
      <c r="R37" s="529">
        <f>SUM(R30:R36)</f>
        <v>471413400</v>
      </c>
    </row>
    <row r="38" spans="1:18" ht="16.5" customHeight="1">
      <c r="A38" s="741">
        <f t="shared" si="3"/>
        <v>33</v>
      </c>
      <c r="B38" s="296" t="s">
        <v>608</v>
      </c>
      <c r="C38" s="759">
        <v>42583</v>
      </c>
      <c r="D38" s="760" t="s">
        <v>621</v>
      </c>
      <c r="E38" s="838">
        <v>37.5</v>
      </c>
      <c r="F38" s="837">
        <v>25.5</v>
      </c>
      <c r="G38" s="837">
        <v>23.9</v>
      </c>
      <c r="H38" s="833">
        <f t="shared" si="4"/>
        <v>1.95</v>
      </c>
      <c r="I38" s="256">
        <v>500</v>
      </c>
      <c r="J38" s="742">
        <f t="shared" si="2"/>
        <v>975</v>
      </c>
      <c r="K38" s="742">
        <f t="shared" ref="K38:K129" si="11">H38*$R$40</f>
        <v>7467.6025999512758</v>
      </c>
      <c r="L38" s="658">
        <v>5900</v>
      </c>
      <c r="M38" s="756"/>
      <c r="N38" s="445"/>
      <c r="O38" s="765"/>
      <c r="P38" s="791"/>
      <c r="Q38" s="755"/>
      <c r="R38" s="767"/>
    </row>
    <row r="39" spans="1:18" ht="16.5" customHeight="1">
      <c r="A39" s="741">
        <f t="shared" si="3"/>
        <v>34</v>
      </c>
      <c r="B39" s="296" t="s">
        <v>623</v>
      </c>
      <c r="C39" s="759">
        <v>42584</v>
      </c>
      <c r="D39" s="760" t="s">
        <v>622</v>
      </c>
      <c r="E39" s="838">
        <v>42</v>
      </c>
      <c r="F39" s="837">
        <v>24</v>
      </c>
      <c r="G39" s="837">
        <v>25</v>
      </c>
      <c r="H39" s="833">
        <f t="shared" si="4"/>
        <v>1.99</v>
      </c>
      <c r="I39" s="256">
        <v>606</v>
      </c>
      <c r="J39" s="742">
        <f t="shared" si="2"/>
        <v>1205.94</v>
      </c>
      <c r="K39" s="742">
        <f t="shared" si="11"/>
        <v>7620.7841917451478</v>
      </c>
      <c r="L39" s="658">
        <v>6000</v>
      </c>
      <c r="M39" s="756"/>
      <c r="N39" s="445"/>
      <c r="O39" s="765"/>
      <c r="P39" s="791"/>
      <c r="Q39" s="755"/>
      <c r="R39" s="767"/>
    </row>
    <row r="40" spans="1:18" ht="16.5" customHeight="1">
      <c r="A40" s="741">
        <f t="shared" si="3"/>
        <v>35</v>
      </c>
      <c r="B40" s="296" t="s">
        <v>624</v>
      </c>
      <c r="C40" s="759">
        <v>42584</v>
      </c>
      <c r="D40" s="760" t="s">
        <v>622</v>
      </c>
      <c r="E40" s="838">
        <v>50</v>
      </c>
      <c r="F40" s="837">
        <v>37</v>
      </c>
      <c r="G40" s="837">
        <v>21</v>
      </c>
      <c r="H40" s="833">
        <f t="shared" si="4"/>
        <v>2.59</v>
      </c>
      <c r="I40" s="256">
        <v>404</v>
      </c>
      <c r="J40" s="742">
        <f t="shared" si="2"/>
        <v>1046.3599999999999</v>
      </c>
      <c r="K40" s="742">
        <f t="shared" si="11"/>
        <v>9918.5080686532328</v>
      </c>
      <c r="L40" s="658">
        <v>8600</v>
      </c>
      <c r="M40" s="756"/>
      <c r="N40" s="1092" t="s">
        <v>457</v>
      </c>
      <c r="O40" s="1093"/>
      <c r="P40" s="1093"/>
      <c r="Q40" s="1094"/>
      <c r="R40" s="834">
        <f>R37/J131</f>
        <v>3829.539794846808</v>
      </c>
    </row>
    <row r="41" spans="1:18" ht="16.5" customHeight="1">
      <c r="A41" s="741">
        <f t="shared" si="3"/>
        <v>36</v>
      </c>
      <c r="B41" s="296" t="s">
        <v>625</v>
      </c>
      <c r="C41" s="759">
        <v>42584</v>
      </c>
      <c r="D41" s="760" t="s">
        <v>622</v>
      </c>
      <c r="E41" s="838">
        <v>45</v>
      </c>
      <c r="F41" s="837">
        <v>33</v>
      </c>
      <c r="G41" s="837">
        <v>46</v>
      </c>
      <c r="H41" s="833">
        <f t="shared" si="4"/>
        <v>3.01</v>
      </c>
      <c r="I41" s="256">
        <v>304</v>
      </c>
      <c r="J41" s="742">
        <f t="shared" si="2"/>
        <v>915.04</v>
      </c>
      <c r="K41" s="742">
        <f t="shared" si="11"/>
        <v>11526.914782488891</v>
      </c>
      <c r="L41" s="658">
        <v>14200</v>
      </c>
      <c r="M41" s="756"/>
      <c r="N41" s="445"/>
      <c r="O41" s="765"/>
      <c r="P41" s="791"/>
      <c r="Q41" s="755"/>
      <c r="R41" s="767"/>
    </row>
    <row r="42" spans="1:18" ht="17.25" customHeight="1">
      <c r="A42" s="741">
        <f t="shared" si="3"/>
        <v>37</v>
      </c>
      <c r="B42" s="296" t="s">
        <v>627</v>
      </c>
      <c r="C42" s="759">
        <v>42584</v>
      </c>
      <c r="D42" s="760" t="s">
        <v>626</v>
      </c>
      <c r="E42" s="838">
        <v>52</v>
      </c>
      <c r="F42" s="837">
        <v>24.5</v>
      </c>
      <c r="G42" s="837">
        <v>24.5</v>
      </c>
      <c r="H42" s="833">
        <f t="shared" si="4"/>
        <v>2.16</v>
      </c>
      <c r="I42" s="256">
        <v>1335</v>
      </c>
      <c r="J42" s="742">
        <f t="shared" si="2"/>
        <v>2883.6000000000004</v>
      </c>
      <c r="K42" s="742">
        <f t="shared" si="11"/>
        <v>8271.805956869106</v>
      </c>
      <c r="L42" s="658">
        <v>5000</v>
      </c>
      <c r="M42" s="756"/>
      <c r="N42" s="445"/>
      <c r="O42" s="765"/>
      <c r="P42" s="791"/>
      <c r="Q42" s="755"/>
      <c r="R42" s="767"/>
    </row>
    <row r="43" spans="1:18" ht="17.25" customHeight="1">
      <c r="A43" s="741">
        <f t="shared" si="3"/>
        <v>38</v>
      </c>
      <c r="B43" s="296" t="s">
        <v>628</v>
      </c>
      <c r="C43" s="759">
        <v>42584</v>
      </c>
      <c r="D43" s="760" t="s">
        <v>626</v>
      </c>
      <c r="E43" s="838">
        <v>22.5</v>
      </c>
      <c r="F43" s="837">
        <v>22.5</v>
      </c>
      <c r="G43" s="837">
        <v>52</v>
      </c>
      <c r="H43" s="833">
        <f t="shared" si="4"/>
        <v>2.19</v>
      </c>
      <c r="I43" s="256">
        <v>302</v>
      </c>
      <c r="J43" s="742">
        <f t="shared" si="2"/>
        <v>661.38</v>
      </c>
      <c r="K43" s="742">
        <f t="shared" si="11"/>
        <v>8386.6921507145089</v>
      </c>
      <c r="L43" s="658">
        <v>5100</v>
      </c>
      <c r="M43" s="756"/>
      <c r="N43" s="445"/>
      <c r="O43" s="765"/>
      <c r="P43" s="791"/>
      <c r="Q43" s="755"/>
      <c r="R43" s="767"/>
    </row>
    <row r="44" spans="1:18" ht="17.25" customHeight="1">
      <c r="A44" s="741">
        <f t="shared" si="3"/>
        <v>39</v>
      </c>
      <c r="B44" s="296" t="s">
        <v>629</v>
      </c>
      <c r="C44" s="759">
        <v>42584</v>
      </c>
      <c r="D44" s="760" t="s">
        <v>626</v>
      </c>
      <c r="E44" s="838">
        <v>55</v>
      </c>
      <c r="F44" s="837">
        <v>45</v>
      </c>
      <c r="G44" s="837">
        <v>29</v>
      </c>
      <c r="H44" s="833">
        <f t="shared" si="4"/>
        <v>3.33</v>
      </c>
      <c r="I44" s="256">
        <v>420</v>
      </c>
      <c r="J44" s="742">
        <f t="shared" si="2"/>
        <v>1398.6000000000001</v>
      </c>
      <c r="K44" s="742">
        <f t="shared" si="11"/>
        <v>12752.367516839871</v>
      </c>
      <c r="L44" s="658">
        <v>9700</v>
      </c>
      <c r="M44" s="756"/>
      <c r="N44" s="445"/>
      <c r="O44" s="765"/>
      <c r="P44" s="791"/>
      <c r="Q44" s="755"/>
      <c r="R44" s="767"/>
    </row>
    <row r="45" spans="1:18" ht="17.25" customHeight="1">
      <c r="A45" s="741">
        <f t="shared" si="3"/>
        <v>40</v>
      </c>
      <c r="B45" s="296" t="s">
        <v>631</v>
      </c>
      <c r="C45" s="759">
        <v>42585</v>
      </c>
      <c r="D45" s="760" t="s">
        <v>630</v>
      </c>
      <c r="E45" s="838">
        <v>49</v>
      </c>
      <c r="F45" s="837">
        <v>38</v>
      </c>
      <c r="G45" s="837">
        <v>12.5</v>
      </c>
      <c r="H45" s="833">
        <f t="shared" si="4"/>
        <v>2.37</v>
      </c>
      <c r="I45" s="256">
        <v>427</v>
      </c>
      <c r="J45" s="742">
        <f t="shared" si="2"/>
        <v>1011.99</v>
      </c>
      <c r="K45" s="742">
        <f t="shared" si="11"/>
        <v>9076.0093137869353</v>
      </c>
      <c r="L45" s="658">
        <v>10200</v>
      </c>
      <c r="M45" s="756"/>
      <c r="N45" s="445"/>
      <c r="O45" s="765"/>
      <c r="P45" s="791"/>
      <c r="Q45" s="755"/>
      <c r="R45" s="767"/>
    </row>
    <row r="46" spans="1:18" ht="17.25" customHeight="1">
      <c r="A46" s="741">
        <f t="shared" si="3"/>
        <v>41</v>
      </c>
      <c r="B46" s="296" t="s">
        <v>665</v>
      </c>
      <c r="C46" s="759">
        <v>42588</v>
      </c>
      <c r="D46" s="760" t="s">
        <v>632</v>
      </c>
      <c r="E46" s="838">
        <v>43</v>
      </c>
      <c r="F46" s="837">
        <v>27.5</v>
      </c>
      <c r="G46" s="837">
        <v>23</v>
      </c>
      <c r="H46" s="833">
        <f t="shared" si="4"/>
        <v>2.1</v>
      </c>
      <c r="I46" s="256">
        <v>108</v>
      </c>
      <c r="J46" s="742">
        <f t="shared" si="2"/>
        <v>226.8</v>
      </c>
      <c r="K46" s="742">
        <f t="shared" si="11"/>
        <v>8042.0335691782975</v>
      </c>
      <c r="L46" s="658">
        <v>6400</v>
      </c>
      <c r="M46" s="756"/>
      <c r="N46" s="445"/>
      <c r="O46" s="765"/>
      <c r="P46" s="791"/>
      <c r="Q46" s="755"/>
      <c r="R46" s="767"/>
    </row>
    <row r="47" spans="1:18" ht="17.25" customHeight="1">
      <c r="A47" s="741">
        <f t="shared" si="3"/>
        <v>42</v>
      </c>
      <c r="B47" s="296" t="s">
        <v>585</v>
      </c>
      <c r="C47" s="759">
        <v>42588</v>
      </c>
      <c r="D47" s="760" t="s">
        <v>632</v>
      </c>
      <c r="E47" s="838"/>
      <c r="F47" s="837"/>
      <c r="G47" s="837"/>
      <c r="H47" s="833">
        <f t="shared" si="4"/>
        <v>0.36</v>
      </c>
      <c r="I47" s="256">
        <v>103</v>
      </c>
      <c r="J47" s="742">
        <f t="shared" si="2"/>
        <v>37.08</v>
      </c>
      <c r="K47" s="742">
        <f t="shared" si="11"/>
        <v>1378.6343261448508</v>
      </c>
      <c r="L47" s="658">
        <v>9400</v>
      </c>
      <c r="M47" s="756"/>
      <c r="N47" s="445"/>
      <c r="O47" s="765"/>
      <c r="P47" s="791"/>
      <c r="Q47" s="755"/>
      <c r="R47" s="767"/>
    </row>
    <row r="48" spans="1:18" ht="17.25" customHeight="1">
      <c r="A48" s="741">
        <f t="shared" si="3"/>
        <v>43</v>
      </c>
      <c r="B48" s="296" t="s">
        <v>634</v>
      </c>
      <c r="C48" s="759">
        <v>42591</v>
      </c>
      <c r="D48" s="760" t="s">
        <v>633</v>
      </c>
      <c r="E48" s="838">
        <v>36.5</v>
      </c>
      <c r="F48" s="837">
        <v>26.5</v>
      </c>
      <c r="G48" s="837">
        <v>26</v>
      </c>
      <c r="H48" s="833">
        <f t="shared" si="4"/>
        <v>2.0299999999999998</v>
      </c>
      <c r="I48" s="256">
        <v>490</v>
      </c>
      <c r="J48" s="742">
        <f t="shared" si="2"/>
        <v>994.69999999999993</v>
      </c>
      <c r="K48" s="742">
        <f t="shared" si="11"/>
        <v>7773.9657835390199</v>
      </c>
      <c r="L48" s="658">
        <v>11000</v>
      </c>
      <c r="M48" s="756"/>
      <c r="N48" s="445"/>
      <c r="O48" s="765"/>
      <c r="P48" s="791"/>
      <c r="Q48" s="755"/>
      <c r="R48" s="767"/>
    </row>
    <row r="49" spans="1:18" ht="17.25" customHeight="1">
      <c r="A49" s="741">
        <f t="shared" si="3"/>
        <v>44</v>
      </c>
      <c r="B49" s="296" t="s">
        <v>637</v>
      </c>
      <c r="C49" s="759">
        <v>42592</v>
      </c>
      <c r="D49" s="760" t="s">
        <v>635</v>
      </c>
      <c r="E49" s="838">
        <v>62</v>
      </c>
      <c r="F49" s="837">
        <v>42.5</v>
      </c>
      <c r="G49" s="837">
        <v>42.5</v>
      </c>
      <c r="H49" s="833">
        <f t="shared" si="4"/>
        <v>3.78</v>
      </c>
      <c r="I49" s="256">
        <v>403</v>
      </c>
      <c r="J49" s="742">
        <f t="shared" si="2"/>
        <v>1523.34</v>
      </c>
      <c r="K49" s="742">
        <f t="shared" si="11"/>
        <v>14475.660424520933</v>
      </c>
      <c r="L49" s="658">
        <v>20000</v>
      </c>
      <c r="M49" s="756"/>
      <c r="N49" s="445"/>
      <c r="O49" s="765"/>
      <c r="P49" s="791"/>
      <c r="Q49" s="755"/>
      <c r="R49" s="767"/>
    </row>
    <row r="50" spans="1:18" ht="17.25" customHeight="1">
      <c r="A50" s="741">
        <f t="shared" si="3"/>
        <v>45</v>
      </c>
      <c r="B50" s="296" t="s">
        <v>431</v>
      </c>
      <c r="C50" s="759">
        <v>42592</v>
      </c>
      <c r="D50" s="760" t="s">
        <v>638</v>
      </c>
      <c r="E50" s="838"/>
      <c r="F50" s="837"/>
      <c r="G50" s="837"/>
      <c r="H50" s="833">
        <f t="shared" si="4"/>
        <v>0.36</v>
      </c>
      <c r="I50" s="256">
        <v>30</v>
      </c>
      <c r="J50" s="742">
        <f t="shared" si="2"/>
        <v>10.799999999999999</v>
      </c>
      <c r="K50" s="742">
        <f t="shared" si="11"/>
        <v>1378.6343261448508</v>
      </c>
      <c r="L50" s="658">
        <v>14200</v>
      </c>
      <c r="M50" s="756"/>
      <c r="N50" s="445"/>
      <c r="O50" s="765"/>
      <c r="P50" s="791"/>
      <c r="Q50" s="755"/>
      <c r="R50" s="767"/>
    </row>
    <row r="51" spans="1:18" ht="17.25" customHeight="1">
      <c r="A51" s="741">
        <f t="shared" si="3"/>
        <v>46</v>
      </c>
      <c r="B51" s="296" t="s">
        <v>432</v>
      </c>
      <c r="C51" s="759">
        <v>42592</v>
      </c>
      <c r="D51" s="760" t="s">
        <v>638</v>
      </c>
      <c r="E51" s="838"/>
      <c r="F51" s="837"/>
      <c r="G51" s="837"/>
      <c r="H51" s="833">
        <f t="shared" si="4"/>
        <v>0.36</v>
      </c>
      <c r="I51" s="256">
        <v>30</v>
      </c>
      <c r="J51" s="742">
        <f t="shared" si="2"/>
        <v>10.799999999999999</v>
      </c>
      <c r="K51" s="742">
        <f t="shared" si="11"/>
        <v>1378.6343261448508</v>
      </c>
      <c r="L51" s="658">
        <v>15300</v>
      </c>
      <c r="M51" s="756"/>
      <c r="O51" s="737"/>
      <c r="P51" s="737"/>
      <c r="Q51" s="737"/>
    </row>
    <row r="52" spans="1:18" ht="17.25" customHeight="1">
      <c r="A52" s="741">
        <f t="shared" si="3"/>
        <v>47</v>
      </c>
      <c r="B52" s="296" t="s">
        <v>433</v>
      </c>
      <c r="C52" s="759">
        <v>42592</v>
      </c>
      <c r="D52" s="760" t="s">
        <v>638</v>
      </c>
      <c r="E52" s="838"/>
      <c r="F52" s="837"/>
      <c r="G52" s="837"/>
      <c r="H52" s="833">
        <f t="shared" si="4"/>
        <v>0.36</v>
      </c>
      <c r="I52" s="256">
        <v>30</v>
      </c>
      <c r="J52" s="742">
        <f t="shared" si="2"/>
        <v>10.799999999999999</v>
      </c>
      <c r="K52" s="742">
        <f t="shared" si="11"/>
        <v>1378.6343261448508</v>
      </c>
      <c r="L52" s="658">
        <v>16500</v>
      </c>
      <c r="M52" s="756"/>
      <c r="O52" s="737"/>
      <c r="P52" s="737"/>
      <c r="Q52" s="737"/>
    </row>
    <row r="53" spans="1:18" ht="17.25" customHeight="1">
      <c r="A53" s="741">
        <f t="shared" si="3"/>
        <v>48</v>
      </c>
      <c r="B53" s="296" t="s">
        <v>434</v>
      </c>
      <c r="C53" s="759">
        <v>42592</v>
      </c>
      <c r="D53" s="760" t="s">
        <v>638</v>
      </c>
      <c r="E53" s="838"/>
      <c r="F53" s="837"/>
      <c r="G53" s="837"/>
      <c r="H53" s="833">
        <f t="shared" ref="H53:H108" si="12">ROUND(((E53+F53)*2*0.01+1.2)*((F53+G53)*0.01+0.3),2)</f>
        <v>0.36</v>
      </c>
      <c r="I53" s="256">
        <v>100</v>
      </c>
      <c r="J53" s="742">
        <f t="shared" ref="J53:J108" si="13">H53*I53</f>
        <v>36</v>
      </c>
      <c r="K53" s="742">
        <f t="shared" ref="K53:K108" si="14">H53*$R$40</f>
        <v>1378.6343261448508</v>
      </c>
      <c r="L53" s="658">
        <v>19700</v>
      </c>
      <c r="M53" s="756"/>
      <c r="O53" s="737"/>
      <c r="P53" s="737"/>
      <c r="Q53" s="737"/>
    </row>
    <row r="54" spans="1:18" ht="17.25" customHeight="1">
      <c r="A54" s="741">
        <f t="shared" si="3"/>
        <v>49</v>
      </c>
      <c r="B54" s="296" t="s">
        <v>435</v>
      </c>
      <c r="C54" s="759">
        <v>42592</v>
      </c>
      <c r="D54" s="760" t="s">
        <v>638</v>
      </c>
      <c r="E54" s="838"/>
      <c r="F54" s="837"/>
      <c r="G54" s="837"/>
      <c r="H54" s="833">
        <f t="shared" si="12"/>
        <v>0.36</v>
      </c>
      <c r="I54" s="256">
        <v>60</v>
      </c>
      <c r="J54" s="742">
        <f t="shared" si="13"/>
        <v>21.599999999999998</v>
      </c>
      <c r="K54" s="742">
        <f t="shared" si="14"/>
        <v>1378.6343261448508</v>
      </c>
      <c r="L54" s="658">
        <v>20100</v>
      </c>
      <c r="M54" s="756"/>
      <c r="O54" s="737"/>
      <c r="P54" s="737"/>
      <c r="Q54" s="737"/>
    </row>
    <row r="55" spans="1:18" ht="17.25" customHeight="1">
      <c r="A55" s="741">
        <f t="shared" si="3"/>
        <v>50</v>
      </c>
      <c r="B55" s="296" t="s">
        <v>637</v>
      </c>
      <c r="C55" s="759">
        <v>42592</v>
      </c>
      <c r="D55" s="760" t="s">
        <v>639</v>
      </c>
      <c r="E55" s="838">
        <v>62</v>
      </c>
      <c r="F55" s="837">
        <v>42.5</v>
      </c>
      <c r="G55" s="837">
        <v>42.5</v>
      </c>
      <c r="H55" s="833">
        <f t="shared" si="12"/>
        <v>3.78</v>
      </c>
      <c r="I55" s="256">
        <v>403</v>
      </c>
      <c r="J55" s="742">
        <f t="shared" si="13"/>
        <v>1523.34</v>
      </c>
      <c r="K55" s="742">
        <f t="shared" si="14"/>
        <v>14475.660424520933</v>
      </c>
      <c r="L55" s="658">
        <v>20000</v>
      </c>
      <c r="M55" s="756"/>
      <c r="O55" s="737"/>
      <c r="P55" s="737"/>
      <c r="Q55" s="737"/>
    </row>
    <row r="56" spans="1:18" ht="17.25" customHeight="1">
      <c r="A56" s="741">
        <f t="shared" si="3"/>
        <v>51</v>
      </c>
      <c r="B56" s="296" t="s">
        <v>585</v>
      </c>
      <c r="C56" s="759">
        <v>42594</v>
      </c>
      <c r="D56" s="760" t="s">
        <v>640</v>
      </c>
      <c r="E56" s="838"/>
      <c r="F56" s="837"/>
      <c r="G56" s="837"/>
      <c r="H56" s="833">
        <f t="shared" si="12"/>
        <v>0.36</v>
      </c>
      <c r="I56" s="256">
        <v>1330</v>
      </c>
      <c r="J56" s="742">
        <f t="shared" si="13"/>
        <v>478.79999999999995</v>
      </c>
      <c r="K56" s="742">
        <f t="shared" si="14"/>
        <v>1378.6343261448508</v>
      </c>
      <c r="L56" s="658">
        <v>9360</v>
      </c>
      <c r="M56" s="756"/>
      <c r="O56" s="737"/>
      <c r="P56" s="737"/>
      <c r="Q56" s="737"/>
    </row>
    <row r="57" spans="1:18" ht="17.25" customHeight="1">
      <c r="A57" s="741">
        <f t="shared" si="3"/>
        <v>52</v>
      </c>
      <c r="B57" s="296" t="s">
        <v>585</v>
      </c>
      <c r="C57" s="759">
        <v>42594</v>
      </c>
      <c r="D57" s="760" t="s">
        <v>640</v>
      </c>
      <c r="E57" s="838"/>
      <c r="F57" s="837"/>
      <c r="G57" s="837"/>
      <c r="H57" s="833">
        <f t="shared" si="12"/>
        <v>0.36</v>
      </c>
      <c r="I57" s="256">
        <v>80</v>
      </c>
      <c r="J57" s="742">
        <f t="shared" si="13"/>
        <v>28.799999999999997</v>
      </c>
      <c r="K57" s="742">
        <f t="shared" si="14"/>
        <v>1378.6343261448508</v>
      </c>
      <c r="L57" s="658">
        <v>9200</v>
      </c>
      <c r="M57" s="756"/>
      <c r="O57" s="737"/>
      <c r="P57" s="737"/>
      <c r="Q57" s="737"/>
    </row>
    <row r="58" spans="1:18" ht="17.25" customHeight="1">
      <c r="A58" s="741">
        <f t="shared" si="3"/>
        <v>53</v>
      </c>
      <c r="B58" s="296" t="s">
        <v>585</v>
      </c>
      <c r="C58" s="759">
        <v>42594</v>
      </c>
      <c r="D58" s="760" t="s">
        <v>640</v>
      </c>
      <c r="E58" s="838"/>
      <c r="F58" s="837"/>
      <c r="G58" s="837"/>
      <c r="H58" s="833">
        <f t="shared" si="12"/>
        <v>0.36</v>
      </c>
      <c r="I58" s="256">
        <v>35</v>
      </c>
      <c r="J58" s="742">
        <f t="shared" si="13"/>
        <v>12.6</v>
      </c>
      <c r="K58" s="742">
        <f t="shared" si="14"/>
        <v>1378.6343261448508</v>
      </c>
      <c r="L58" s="658">
        <v>9300</v>
      </c>
      <c r="M58" s="756"/>
      <c r="O58" s="737"/>
      <c r="P58" s="737"/>
      <c r="Q58" s="737"/>
    </row>
    <row r="59" spans="1:18" ht="17.25" customHeight="1">
      <c r="A59" s="741">
        <f t="shared" si="3"/>
        <v>54</v>
      </c>
      <c r="B59" s="296" t="s">
        <v>585</v>
      </c>
      <c r="C59" s="759">
        <v>42594</v>
      </c>
      <c r="D59" s="760" t="s">
        <v>640</v>
      </c>
      <c r="E59" s="838"/>
      <c r="F59" s="837"/>
      <c r="G59" s="837"/>
      <c r="H59" s="833">
        <f t="shared" si="12"/>
        <v>0.36</v>
      </c>
      <c r="I59" s="256">
        <v>90</v>
      </c>
      <c r="J59" s="742">
        <f t="shared" si="13"/>
        <v>32.4</v>
      </c>
      <c r="K59" s="742">
        <f t="shared" si="14"/>
        <v>1378.6343261448508</v>
      </c>
      <c r="L59" s="658">
        <v>7500</v>
      </c>
      <c r="M59" s="756"/>
      <c r="O59" s="737"/>
      <c r="P59" s="737"/>
      <c r="Q59" s="737"/>
    </row>
    <row r="60" spans="1:18" ht="17.25" customHeight="1">
      <c r="A60" s="741">
        <f t="shared" si="3"/>
        <v>55</v>
      </c>
      <c r="B60" s="296" t="s">
        <v>585</v>
      </c>
      <c r="C60" s="759">
        <v>42594</v>
      </c>
      <c r="D60" s="760" t="s">
        <v>640</v>
      </c>
      <c r="E60" s="838"/>
      <c r="F60" s="837"/>
      <c r="G60" s="837"/>
      <c r="H60" s="833">
        <f t="shared" si="12"/>
        <v>0.36</v>
      </c>
      <c r="I60" s="256">
        <v>650</v>
      </c>
      <c r="J60" s="742">
        <f t="shared" si="13"/>
        <v>234</v>
      </c>
      <c r="K60" s="742">
        <f t="shared" si="14"/>
        <v>1378.6343261448508</v>
      </c>
      <c r="L60" s="658">
        <v>6200</v>
      </c>
      <c r="M60" s="756"/>
      <c r="O60" s="737"/>
      <c r="P60" s="737"/>
      <c r="Q60" s="737"/>
    </row>
    <row r="61" spans="1:18" ht="17.25" customHeight="1">
      <c r="A61" s="741">
        <f t="shared" si="3"/>
        <v>56</v>
      </c>
      <c r="B61" s="296" t="s">
        <v>585</v>
      </c>
      <c r="C61" s="759">
        <v>42594</v>
      </c>
      <c r="D61" s="760" t="s">
        <v>640</v>
      </c>
      <c r="E61" s="838"/>
      <c r="F61" s="837"/>
      <c r="G61" s="837"/>
      <c r="H61" s="833">
        <f t="shared" si="12"/>
        <v>0.36</v>
      </c>
      <c r="I61" s="256">
        <v>210</v>
      </c>
      <c r="J61" s="742">
        <f t="shared" si="13"/>
        <v>75.599999999999994</v>
      </c>
      <c r="K61" s="742">
        <f t="shared" si="14"/>
        <v>1378.6343261448508</v>
      </c>
      <c r="L61" s="658">
        <v>9500</v>
      </c>
      <c r="M61" s="756"/>
      <c r="O61" s="737"/>
      <c r="P61" s="737"/>
      <c r="Q61" s="737"/>
    </row>
    <row r="62" spans="1:18" ht="17.25" customHeight="1">
      <c r="A62" s="741">
        <f t="shared" si="3"/>
        <v>57</v>
      </c>
      <c r="B62" s="296" t="s">
        <v>642</v>
      </c>
      <c r="C62" s="759">
        <v>42597</v>
      </c>
      <c r="D62" s="760" t="s">
        <v>641</v>
      </c>
      <c r="E62" s="838">
        <v>52</v>
      </c>
      <c r="F62" s="837">
        <v>24</v>
      </c>
      <c r="G62" s="837">
        <v>24</v>
      </c>
      <c r="H62" s="833">
        <f t="shared" si="12"/>
        <v>2.12</v>
      </c>
      <c r="I62" s="256">
        <v>429</v>
      </c>
      <c r="J62" s="742">
        <f t="shared" si="13"/>
        <v>909.48</v>
      </c>
      <c r="K62" s="742">
        <f t="shared" si="14"/>
        <v>8118.6243650752331</v>
      </c>
      <c r="L62" s="658">
        <v>6000</v>
      </c>
      <c r="M62" s="756"/>
      <c r="O62" s="737"/>
      <c r="P62" s="737"/>
      <c r="Q62" s="737"/>
    </row>
    <row r="63" spans="1:18" ht="17.25" customHeight="1">
      <c r="A63" s="741">
        <f t="shared" si="3"/>
        <v>58</v>
      </c>
      <c r="B63" s="296" t="s">
        <v>643</v>
      </c>
      <c r="C63" s="759">
        <v>42597</v>
      </c>
      <c r="D63" s="760" t="s">
        <v>641</v>
      </c>
      <c r="E63" s="838">
        <v>52</v>
      </c>
      <c r="F63" s="837">
        <v>27</v>
      </c>
      <c r="G63" s="837">
        <v>27</v>
      </c>
      <c r="H63" s="833">
        <f t="shared" si="12"/>
        <v>2.34</v>
      </c>
      <c r="I63" s="256">
        <v>370</v>
      </c>
      <c r="J63" s="742">
        <f t="shared" si="13"/>
        <v>865.8</v>
      </c>
      <c r="K63" s="742">
        <f t="shared" si="14"/>
        <v>8961.1231199415306</v>
      </c>
      <c r="L63" s="658">
        <v>6600</v>
      </c>
      <c r="M63" s="756"/>
      <c r="O63" s="737"/>
      <c r="P63" s="737"/>
      <c r="Q63" s="737"/>
    </row>
    <row r="64" spans="1:18" ht="17.25" customHeight="1">
      <c r="A64" s="741">
        <f t="shared" si="3"/>
        <v>59</v>
      </c>
      <c r="B64" s="296" t="s">
        <v>645</v>
      </c>
      <c r="C64" s="759">
        <v>42597</v>
      </c>
      <c r="D64" s="760" t="s">
        <v>644</v>
      </c>
      <c r="E64" s="838">
        <v>103</v>
      </c>
      <c r="F64" s="837">
        <v>50</v>
      </c>
      <c r="G64" s="837">
        <v>180</v>
      </c>
      <c r="H64" s="833">
        <f t="shared" si="12"/>
        <v>11.08</v>
      </c>
      <c r="I64" s="256">
        <v>130</v>
      </c>
      <c r="J64" s="742">
        <f t="shared" si="13"/>
        <v>1440.4</v>
      </c>
      <c r="K64" s="742">
        <f t="shared" si="14"/>
        <v>42431.30092690263</v>
      </c>
      <c r="L64" s="658">
        <v>47449</v>
      </c>
      <c r="M64" s="756"/>
      <c r="O64" s="737"/>
      <c r="P64" s="737"/>
      <c r="Q64" s="737"/>
    </row>
    <row r="65" spans="1:17" ht="17.25" customHeight="1">
      <c r="A65" s="741">
        <f t="shared" si="3"/>
        <v>60</v>
      </c>
      <c r="B65" s="296" t="s">
        <v>647</v>
      </c>
      <c r="C65" s="759">
        <v>42599</v>
      </c>
      <c r="D65" s="760" t="s">
        <v>646</v>
      </c>
      <c r="E65" s="838">
        <v>40</v>
      </c>
      <c r="F65" s="837">
        <v>29.5</v>
      </c>
      <c r="G65" s="837">
        <v>19</v>
      </c>
      <c r="H65" s="833">
        <f t="shared" si="12"/>
        <v>2.0299999999999998</v>
      </c>
      <c r="I65" s="256">
        <v>309</v>
      </c>
      <c r="J65" s="742">
        <f t="shared" si="13"/>
        <v>627.27</v>
      </c>
      <c r="K65" s="742">
        <f t="shared" si="14"/>
        <v>7773.9657835390199</v>
      </c>
      <c r="L65" s="658">
        <v>7500</v>
      </c>
      <c r="M65" s="756"/>
      <c r="O65" s="737"/>
      <c r="P65" s="737"/>
      <c r="Q65" s="737"/>
    </row>
    <row r="66" spans="1:17" ht="17.25" customHeight="1">
      <c r="A66" s="741">
        <f t="shared" si="3"/>
        <v>61</v>
      </c>
      <c r="B66" s="296" t="s">
        <v>649</v>
      </c>
      <c r="C66" s="759">
        <v>42599</v>
      </c>
      <c r="D66" s="760" t="s">
        <v>648</v>
      </c>
      <c r="E66" s="838">
        <v>40</v>
      </c>
      <c r="F66" s="837">
        <v>25.5</v>
      </c>
      <c r="G66" s="837">
        <v>72</v>
      </c>
      <c r="H66" s="833">
        <f t="shared" si="12"/>
        <v>3.2</v>
      </c>
      <c r="I66" s="256">
        <v>19</v>
      </c>
      <c r="J66" s="742">
        <f t="shared" si="13"/>
        <v>60.800000000000004</v>
      </c>
      <c r="K66" s="742">
        <f t="shared" si="14"/>
        <v>12254.527343509786</v>
      </c>
      <c r="L66" s="658">
        <v>10800</v>
      </c>
      <c r="M66" s="756"/>
      <c r="O66" s="737"/>
      <c r="P66" s="737"/>
      <c r="Q66" s="737"/>
    </row>
    <row r="67" spans="1:17" ht="17.25" customHeight="1">
      <c r="A67" s="741">
        <f t="shared" si="3"/>
        <v>62</v>
      </c>
      <c r="B67" s="296" t="s">
        <v>650</v>
      </c>
      <c r="C67" s="759">
        <v>42599</v>
      </c>
      <c r="D67" s="760" t="s">
        <v>648</v>
      </c>
      <c r="E67" s="838"/>
      <c r="F67" s="837"/>
      <c r="G67" s="837"/>
      <c r="H67" s="833">
        <f t="shared" si="12"/>
        <v>0.36</v>
      </c>
      <c r="I67" s="256">
        <v>206</v>
      </c>
      <c r="J67" s="742">
        <f t="shared" si="13"/>
        <v>74.16</v>
      </c>
      <c r="K67" s="742">
        <f t="shared" si="14"/>
        <v>1378.6343261448508</v>
      </c>
      <c r="L67" s="658">
        <v>9300</v>
      </c>
      <c r="M67" s="756"/>
      <c r="O67" s="737"/>
      <c r="P67" s="737"/>
      <c r="Q67" s="737"/>
    </row>
    <row r="68" spans="1:17" ht="17.25" customHeight="1">
      <c r="A68" s="741">
        <f t="shared" si="3"/>
        <v>63</v>
      </c>
      <c r="B68" s="296" t="s">
        <v>650</v>
      </c>
      <c r="C68" s="759">
        <v>42601</v>
      </c>
      <c r="D68" s="760" t="s">
        <v>651</v>
      </c>
      <c r="E68" s="838"/>
      <c r="F68" s="837"/>
      <c r="G68" s="837"/>
      <c r="H68" s="833">
        <f t="shared" si="12"/>
        <v>0.36</v>
      </c>
      <c r="I68" s="256">
        <v>166</v>
      </c>
      <c r="J68" s="742">
        <f t="shared" si="13"/>
        <v>59.76</v>
      </c>
      <c r="K68" s="742">
        <f t="shared" si="14"/>
        <v>1378.6343261448508</v>
      </c>
      <c r="L68" s="658">
        <v>10200</v>
      </c>
      <c r="M68" s="756"/>
      <c r="O68" s="737"/>
      <c r="P68" s="737"/>
      <c r="Q68" s="737"/>
    </row>
    <row r="69" spans="1:17" ht="17.25" customHeight="1">
      <c r="A69" s="741">
        <f t="shared" si="3"/>
        <v>64</v>
      </c>
      <c r="B69" s="296" t="s">
        <v>608</v>
      </c>
      <c r="C69" s="759">
        <v>42602</v>
      </c>
      <c r="D69" s="760" t="s">
        <v>653</v>
      </c>
      <c r="E69" s="838">
        <v>37.5</v>
      </c>
      <c r="F69" s="837">
        <v>25.5</v>
      </c>
      <c r="G69" s="837">
        <v>23.9</v>
      </c>
      <c r="H69" s="833">
        <f t="shared" si="12"/>
        <v>1.95</v>
      </c>
      <c r="I69" s="256">
        <v>940</v>
      </c>
      <c r="J69" s="742">
        <f t="shared" si="13"/>
        <v>1833</v>
      </c>
      <c r="K69" s="742">
        <f t="shared" si="14"/>
        <v>7467.6025999512758</v>
      </c>
      <c r="L69" s="658">
        <v>5900</v>
      </c>
      <c r="M69" s="756"/>
      <c r="O69" s="737"/>
      <c r="P69" s="737"/>
      <c r="Q69" s="737"/>
    </row>
    <row r="70" spans="1:17" ht="17.25" customHeight="1">
      <c r="A70" s="741">
        <f t="shared" si="3"/>
        <v>65</v>
      </c>
      <c r="B70" s="296" t="s">
        <v>585</v>
      </c>
      <c r="C70" s="759">
        <v>42605</v>
      </c>
      <c r="D70" s="760" t="s">
        <v>654</v>
      </c>
      <c r="E70" s="838"/>
      <c r="F70" s="837"/>
      <c r="G70" s="837"/>
      <c r="H70" s="833">
        <f t="shared" si="12"/>
        <v>0.36</v>
      </c>
      <c r="I70" s="256">
        <v>58</v>
      </c>
      <c r="J70" s="742">
        <f t="shared" si="13"/>
        <v>20.88</v>
      </c>
      <c r="K70" s="742">
        <f t="shared" si="14"/>
        <v>1378.6343261448508</v>
      </c>
      <c r="L70" s="658">
        <v>16070</v>
      </c>
      <c r="M70" s="756"/>
      <c r="O70" s="737"/>
      <c r="P70" s="737"/>
      <c r="Q70" s="737"/>
    </row>
    <row r="71" spans="1:17" ht="17.25" customHeight="1">
      <c r="A71" s="741">
        <f t="shared" si="3"/>
        <v>66</v>
      </c>
      <c r="B71" s="296" t="s">
        <v>585</v>
      </c>
      <c r="C71" s="759">
        <v>42605</v>
      </c>
      <c r="D71" s="760" t="s">
        <v>654</v>
      </c>
      <c r="E71" s="838"/>
      <c r="F71" s="837"/>
      <c r="G71" s="837"/>
      <c r="H71" s="833">
        <f t="shared" si="12"/>
        <v>0.36</v>
      </c>
      <c r="I71" s="256">
        <v>56</v>
      </c>
      <c r="J71" s="742">
        <f t="shared" si="13"/>
        <v>20.16</v>
      </c>
      <c r="K71" s="742">
        <f t="shared" si="14"/>
        <v>1378.6343261448508</v>
      </c>
      <c r="L71" s="658">
        <v>73100</v>
      </c>
      <c r="M71" s="756"/>
      <c r="O71" s="737"/>
      <c r="P71" s="737"/>
      <c r="Q71" s="737"/>
    </row>
    <row r="72" spans="1:17" ht="17.25" customHeight="1">
      <c r="A72" s="741">
        <f t="shared" si="3"/>
        <v>67</v>
      </c>
      <c r="B72" s="296" t="s">
        <v>585</v>
      </c>
      <c r="C72" s="759">
        <v>42607</v>
      </c>
      <c r="D72" s="760" t="s">
        <v>655</v>
      </c>
      <c r="E72" s="838"/>
      <c r="F72" s="837"/>
      <c r="G72" s="837"/>
      <c r="H72" s="833">
        <f t="shared" si="12"/>
        <v>0.36</v>
      </c>
      <c r="I72" s="256">
        <v>1040</v>
      </c>
      <c r="J72" s="742">
        <f t="shared" si="13"/>
        <v>374.4</v>
      </c>
      <c r="K72" s="742">
        <f t="shared" si="14"/>
        <v>1378.6343261448508</v>
      </c>
      <c r="L72" s="658">
        <v>15100</v>
      </c>
      <c r="M72" s="756"/>
      <c r="O72" s="737"/>
      <c r="P72" s="737"/>
      <c r="Q72" s="737"/>
    </row>
    <row r="73" spans="1:17" ht="17.25" customHeight="1">
      <c r="A73" s="741">
        <f t="shared" si="3"/>
        <v>68</v>
      </c>
      <c r="B73" s="296" t="s">
        <v>585</v>
      </c>
      <c r="C73" s="759">
        <v>42607</v>
      </c>
      <c r="D73" s="760" t="s">
        <v>656</v>
      </c>
      <c r="E73" s="838"/>
      <c r="F73" s="837"/>
      <c r="G73" s="837"/>
      <c r="H73" s="833">
        <f t="shared" si="12"/>
        <v>0.36</v>
      </c>
      <c r="I73" s="256">
        <v>110</v>
      </c>
      <c r="J73" s="742">
        <f t="shared" si="13"/>
        <v>39.6</v>
      </c>
      <c r="K73" s="742">
        <f t="shared" si="14"/>
        <v>1378.6343261448508</v>
      </c>
      <c r="L73" s="658">
        <v>15100</v>
      </c>
      <c r="M73" s="756"/>
      <c r="O73" s="737"/>
      <c r="P73" s="737"/>
      <c r="Q73" s="737"/>
    </row>
    <row r="74" spans="1:17" ht="17.25" customHeight="1">
      <c r="A74" s="741">
        <f t="shared" si="3"/>
        <v>69</v>
      </c>
      <c r="B74" s="296" t="s">
        <v>658</v>
      </c>
      <c r="C74" s="759">
        <v>42608</v>
      </c>
      <c r="D74" s="760" t="s">
        <v>657</v>
      </c>
      <c r="E74" s="838">
        <v>51.5</v>
      </c>
      <c r="F74" s="837">
        <v>39.5</v>
      </c>
      <c r="G74" s="837">
        <v>39.5</v>
      </c>
      <c r="H74" s="833">
        <f t="shared" si="12"/>
        <v>3.29</v>
      </c>
      <c r="I74" s="256">
        <v>120</v>
      </c>
      <c r="J74" s="742">
        <f t="shared" si="13"/>
        <v>394.8</v>
      </c>
      <c r="K74" s="742">
        <f t="shared" si="14"/>
        <v>12599.185925045998</v>
      </c>
      <c r="L74" s="658">
        <v>19000</v>
      </c>
      <c r="M74" s="756"/>
      <c r="O74" s="737"/>
      <c r="P74" s="737"/>
      <c r="Q74" s="737"/>
    </row>
    <row r="75" spans="1:17" ht="17.25" customHeight="1">
      <c r="A75" s="741">
        <f t="shared" si="3"/>
        <v>70</v>
      </c>
      <c r="B75" s="296" t="s">
        <v>659</v>
      </c>
      <c r="C75" s="759">
        <v>42608</v>
      </c>
      <c r="D75" s="760" t="s">
        <v>657</v>
      </c>
      <c r="E75" s="838">
        <v>50</v>
      </c>
      <c r="F75" s="837">
        <v>38</v>
      </c>
      <c r="G75" s="837"/>
      <c r="H75" s="833">
        <f t="shared" si="12"/>
        <v>2.0099999999999998</v>
      </c>
      <c r="I75" s="256">
        <v>240</v>
      </c>
      <c r="J75" s="742">
        <f t="shared" si="13"/>
        <v>482.4</v>
      </c>
      <c r="K75" s="742">
        <f t="shared" si="14"/>
        <v>7697.3749876420834</v>
      </c>
      <c r="L75" s="658">
        <v>1750</v>
      </c>
      <c r="M75" s="756"/>
      <c r="O75" s="737"/>
      <c r="P75" s="737"/>
      <c r="Q75" s="737"/>
    </row>
    <row r="76" spans="1:17" ht="17.25" customHeight="1">
      <c r="A76" s="741">
        <f t="shared" si="3"/>
        <v>71</v>
      </c>
      <c r="B76" s="296" t="s">
        <v>618</v>
      </c>
      <c r="C76" s="759">
        <v>42608</v>
      </c>
      <c r="D76" s="760" t="s">
        <v>660</v>
      </c>
      <c r="E76" s="838">
        <v>49</v>
      </c>
      <c r="F76" s="837">
        <v>38</v>
      </c>
      <c r="G76" s="837">
        <v>12</v>
      </c>
      <c r="H76" s="833">
        <f t="shared" si="12"/>
        <v>2.35</v>
      </c>
      <c r="I76" s="256">
        <v>513</v>
      </c>
      <c r="J76" s="742">
        <f t="shared" si="13"/>
        <v>1205.55</v>
      </c>
      <c r="K76" s="742">
        <f t="shared" si="14"/>
        <v>8999.4185178899988</v>
      </c>
      <c r="L76" s="658">
        <v>10500</v>
      </c>
      <c r="M76" s="756"/>
      <c r="O76" s="737"/>
      <c r="P76" s="737"/>
      <c r="Q76" s="737"/>
    </row>
    <row r="77" spans="1:17" ht="17.25" customHeight="1">
      <c r="A77" s="741">
        <f t="shared" si="3"/>
        <v>72</v>
      </c>
      <c r="B77" s="296" t="s">
        <v>662</v>
      </c>
      <c r="C77" s="759">
        <v>42608</v>
      </c>
      <c r="D77" s="760" t="s">
        <v>661</v>
      </c>
      <c r="E77" s="838">
        <v>52.5</v>
      </c>
      <c r="F77" s="837">
        <v>30.5</v>
      </c>
      <c r="G77" s="837">
        <v>8.5</v>
      </c>
      <c r="H77" s="833">
        <f t="shared" si="12"/>
        <v>1.97</v>
      </c>
      <c r="I77" s="256">
        <v>1000</v>
      </c>
      <c r="J77" s="742">
        <f t="shared" si="13"/>
        <v>1970</v>
      </c>
      <c r="K77" s="742">
        <f t="shared" si="14"/>
        <v>7544.1933958482114</v>
      </c>
      <c r="L77" s="658">
        <v>7700</v>
      </c>
      <c r="M77" s="756"/>
      <c r="O77" s="737"/>
      <c r="P77" s="737"/>
      <c r="Q77" s="737"/>
    </row>
    <row r="78" spans="1:17" ht="17.25" customHeight="1">
      <c r="A78" s="741">
        <f t="shared" si="3"/>
        <v>73</v>
      </c>
      <c r="B78" s="296" t="s">
        <v>663</v>
      </c>
      <c r="C78" s="759">
        <v>42608</v>
      </c>
      <c r="D78" s="760" t="s">
        <v>661</v>
      </c>
      <c r="E78" s="838">
        <v>53</v>
      </c>
      <c r="F78" s="837">
        <v>31</v>
      </c>
      <c r="G78" s="837">
        <v>9.1999999999999993</v>
      </c>
      <c r="H78" s="833">
        <f t="shared" si="12"/>
        <v>2.02</v>
      </c>
      <c r="I78" s="256">
        <v>970</v>
      </c>
      <c r="J78" s="742">
        <f t="shared" si="13"/>
        <v>1959.4</v>
      </c>
      <c r="K78" s="742">
        <f t="shared" si="14"/>
        <v>7735.6703855905525</v>
      </c>
      <c r="L78" s="658">
        <v>6400</v>
      </c>
      <c r="M78" s="756"/>
      <c r="O78" s="737"/>
      <c r="P78" s="737"/>
      <c r="Q78" s="737"/>
    </row>
    <row r="79" spans="1:17" ht="17.25" customHeight="1">
      <c r="A79" s="741">
        <f t="shared" si="3"/>
        <v>74</v>
      </c>
      <c r="B79" s="296" t="s">
        <v>665</v>
      </c>
      <c r="C79" s="759">
        <v>42609</v>
      </c>
      <c r="D79" s="760" t="s">
        <v>664</v>
      </c>
      <c r="E79" s="838">
        <v>43</v>
      </c>
      <c r="F79" s="837">
        <v>27.5</v>
      </c>
      <c r="G79" s="837">
        <v>23</v>
      </c>
      <c r="H79" s="833">
        <f t="shared" si="12"/>
        <v>2.1</v>
      </c>
      <c r="I79" s="256">
        <v>203</v>
      </c>
      <c r="J79" s="742">
        <f t="shared" si="13"/>
        <v>426.3</v>
      </c>
      <c r="K79" s="742">
        <f t="shared" si="14"/>
        <v>8042.0335691782975</v>
      </c>
      <c r="L79" s="658">
        <v>6400</v>
      </c>
      <c r="M79" s="756"/>
      <c r="O79" s="737"/>
      <c r="P79" s="737"/>
      <c r="Q79" s="737"/>
    </row>
    <row r="80" spans="1:17" ht="17.25" customHeight="1">
      <c r="A80" s="741">
        <f t="shared" si="3"/>
        <v>75</v>
      </c>
      <c r="B80" s="296" t="s">
        <v>645</v>
      </c>
      <c r="C80" s="759">
        <v>42611</v>
      </c>
      <c r="D80" s="760" t="s">
        <v>666</v>
      </c>
      <c r="E80" s="838">
        <v>103</v>
      </c>
      <c r="F80" s="837">
        <v>50</v>
      </c>
      <c r="G80" s="837">
        <v>180</v>
      </c>
      <c r="H80" s="833">
        <f t="shared" si="12"/>
        <v>11.08</v>
      </c>
      <c r="I80" s="256">
        <v>160</v>
      </c>
      <c r="J80" s="742">
        <f t="shared" si="13"/>
        <v>1772.8</v>
      </c>
      <c r="K80" s="742">
        <f t="shared" si="14"/>
        <v>42431.30092690263</v>
      </c>
      <c r="L80" s="658">
        <v>47449</v>
      </c>
      <c r="M80" s="756"/>
      <c r="O80" s="737"/>
      <c r="P80" s="737"/>
      <c r="Q80" s="737"/>
    </row>
    <row r="81" spans="1:17" ht="17.25" customHeight="1">
      <c r="A81" s="741">
        <f t="shared" si="3"/>
        <v>76</v>
      </c>
      <c r="B81" s="296" t="s">
        <v>427</v>
      </c>
      <c r="C81" s="759">
        <v>42612</v>
      </c>
      <c r="D81" s="760" t="s">
        <v>667</v>
      </c>
      <c r="E81" s="838">
        <v>125</v>
      </c>
      <c r="F81" s="837">
        <v>185</v>
      </c>
      <c r="G81" s="837"/>
      <c r="H81" s="833">
        <f t="shared" si="12"/>
        <v>15.91</v>
      </c>
      <c r="I81" s="256">
        <v>500</v>
      </c>
      <c r="J81" s="742">
        <f t="shared" si="13"/>
        <v>7955</v>
      </c>
      <c r="K81" s="742">
        <f t="shared" si="14"/>
        <v>60927.978136012716</v>
      </c>
      <c r="L81" s="658">
        <v>12950</v>
      </c>
      <c r="M81" s="756"/>
      <c r="O81" s="737"/>
      <c r="P81" s="737"/>
      <c r="Q81" s="737"/>
    </row>
    <row r="82" spans="1:17" ht="17.25" customHeight="1">
      <c r="A82" s="741">
        <f t="shared" si="3"/>
        <v>77</v>
      </c>
      <c r="B82" s="296" t="s">
        <v>594</v>
      </c>
      <c r="C82" s="759">
        <v>42613</v>
      </c>
      <c r="D82" s="760" t="s">
        <v>669</v>
      </c>
      <c r="E82" s="838">
        <v>45</v>
      </c>
      <c r="F82" s="837">
        <v>37</v>
      </c>
      <c r="G82" s="837">
        <v>27.5</v>
      </c>
      <c r="H82" s="833">
        <f t="shared" si="12"/>
        <v>2.68</v>
      </c>
      <c r="I82" s="256">
        <v>1500</v>
      </c>
      <c r="J82" s="742">
        <f t="shared" si="13"/>
        <v>4020.0000000000005</v>
      </c>
      <c r="K82" s="742">
        <f t="shared" si="14"/>
        <v>10263.166650189447</v>
      </c>
      <c r="L82" s="658">
        <v>13800</v>
      </c>
      <c r="M82" s="756"/>
      <c r="O82" s="737"/>
      <c r="P82" s="737"/>
      <c r="Q82" s="737"/>
    </row>
    <row r="83" spans="1:17" ht="17.25" customHeight="1">
      <c r="A83" s="741">
        <f t="shared" si="3"/>
        <v>78</v>
      </c>
      <c r="B83" s="296" t="s">
        <v>594</v>
      </c>
      <c r="C83" s="759">
        <v>42613</v>
      </c>
      <c r="D83" s="760" t="s">
        <v>669</v>
      </c>
      <c r="E83" s="838">
        <v>45</v>
      </c>
      <c r="F83" s="837">
        <v>37</v>
      </c>
      <c r="G83" s="837">
        <v>27.5</v>
      </c>
      <c r="H83" s="833">
        <f t="shared" si="12"/>
        <v>2.68</v>
      </c>
      <c r="I83" s="256">
        <v>400</v>
      </c>
      <c r="J83" s="742">
        <f t="shared" si="13"/>
        <v>1072</v>
      </c>
      <c r="K83" s="742">
        <f t="shared" si="14"/>
        <v>10263.166650189447</v>
      </c>
      <c r="L83" s="658">
        <v>13400</v>
      </c>
      <c r="M83" s="756"/>
      <c r="O83" s="737"/>
      <c r="P83" s="737"/>
      <c r="Q83" s="737"/>
    </row>
    <row r="84" spans="1:17" ht="17.25" customHeight="1">
      <c r="A84" s="741">
        <f t="shared" si="3"/>
        <v>79</v>
      </c>
      <c r="B84" s="296" t="s">
        <v>440</v>
      </c>
      <c r="C84" s="759">
        <v>42613</v>
      </c>
      <c r="D84" s="760" t="s">
        <v>669</v>
      </c>
      <c r="E84" s="838">
        <v>44</v>
      </c>
      <c r="F84" s="837">
        <v>20</v>
      </c>
      <c r="G84" s="837"/>
      <c r="H84" s="833">
        <f t="shared" si="12"/>
        <v>1.24</v>
      </c>
      <c r="I84" s="256">
        <v>3800</v>
      </c>
      <c r="J84" s="742">
        <f t="shared" si="13"/>
        <v>4712</v>
      </c>
      <c r="K84" s="742">
        <f t="shared" si="14"/>
        <v>4748.629345610042</v>
      </c>
      <c r="L84" s="658">
        <v>1300</v>
      </c>
      <c r="M84" s="756"/>
      <c r="O84" s="737"/>
      <c r="P84" s="737"/>
      <c r="Q84" s="737"/>
    </row>
    <row r="85" spans="1:17" ht="17.25" customHeight="1">
      <c r="A85" s="741">
        <f t="shared" si="3"/>
        <v>80</v>
      </c>
      <c r="B85" s="296" t="s">
        <v>627</v>
      </c>
      <c r="C85" s="759">
        <v>42613</v>
      </c>
      <c r="D85" s="760" t="s">
        <v>670</v>
      </c>
      <c r="E85" s="838">
        <v>52</v>
      </c>
      <c r="F85" s="837">
        <v>24.5</v>
      </c>
      <c r="G85" s="837">
        <v>24.5</v>
      </c>
      <c r="H85" s="833">
        <f t="shared" si="12"/>
        <v>2.16</v>
      </c>
      <c r="I85" s="256">
        <v>819</v>
      </c>
      <c r="J85" s="742">
        <f t="shared" si="13"/>
        <v>1769.0400000000002</v>
      </c>
      <c r="K85" s="742">
        <f t="shared" si="14"/>
        <v>8271.805956869106</v>
      </c>
      <c r="L85" s="658">
        <v>5000</v>
      </c>
      <c r="M85" s="756"/>
      <c r="O85" s="737"/>
      <c r="P85" s="737"/>
      <c r="Q85" s="737"/>
    </row>
    <row r="86" spans="1:17" ht="17.25" customHeight="1">
      <c r="A86" s="741">
        <f t="shared" si="3"/>
        <v>81</v>
      </c>
      <c r="B86" s="296" t="s">
        <v>692</v>
      </c>
      <c r="C86" s="759">
        <v>42613</v>
      </c>
      <c r="D86" s="760" t="s">
        <v>670</v>
      </c>
      <c r="E86" s="838">
        <v>52</v>
      </c>
      <c r="F86" s="837">
        <v>26.5</v>
      </c>
      <c r="G86" s="837">
        <v>26.5</v>
      </c>
      <c r="H86" s="833">
        <f t="shared" si="12"/>
        <v>2.2999999999999998</v>
      </c>
      <c r="I86" s="256">
        <v>610</v>
      </c>
      <c r="J86" s="742">
        <f t="shared" si="13"/>
        <v>1403</v>
      </c>
      <c r="K86" s="742">
        <f t="shared" si="14"/>
        <v>8807.9415281476577</v>
      </c>
      <c r="L86" s="658">
        <v>5550</v>
      </c>
      <c r="M86" s="756"/>
      <c r="O86" s="737"/>
      <c r="P86" s="737"/>
      <c r="Q86" s="737"/>
    </row>
    <row r="87" spans="1:17" ht="17.25" customHeight="1">
      <c r="A87" s="741">
        <f t="shared" si="3"/>
        <v>82</v>
      </c>
      <c r="B87" s="296" t="s">
        <v>629</v>
      </c>
      <c r="C87" s="759">
        <v>42613</v>
      </c>
      <c r="D87" s="760" t="s">
        <v>670</v>
      </c>
      <c r="E87" s="838">
        <v>55</v>
      </c>
      <c r="F87" s="837">
        <v>45</v>
      </c>
      <c r="G87" s="837">
        <v>29</v>
      </c>
      <c r="H87" s="833">
        <f t="shared" si="12"/>
        <v>3.33</v>
      </c>
      <c r="I87" s="256">
        <v>599</v>
      </c>
      <c r="J87" s="742">
        <f t="shared" si="13"/>
        <v>1994.67</v>
      </c>
      <c r="K87" s="742">
        <f t="shared" si="14"/>
        <v>12752.367516839871</v>
      </c>
      <c r="L87" s="658">
        <v>9700</v>
      </c>
      <c r="M87" s="756"/>
      <c r="O87" s="737"/>
      <c r="P87" s="737"/>
      <c r="Q87" s="737"/>
    </row>
    <row r="88" spans="1:17" ht="17.25" customHeight="1">
      <c r="A88" s="741">
        <f t="shared" si="3"/>
        <v>83</v>
      </c>
      <c r="B88" s="296" t="s">
        <v>779</v>
      </c>
      <c r="C88" s="759">
        <v>42613</v>
      </c>
      <c r="D88" s="760" t="s">
        <v>670</v>
      </c>
      <c r="E88" s="838">
        <v>61</v>
      </c>
      <c r="F88" s="837">
        <v>51</v>
      </c>
      <c r="G88" s="837">
        <v>30</v>
      </c>
      <c r="H88" s="833">
        <f t="shared" si="12"/>
        <v>3.82</v>
      </c>
      <c r="I88" s="256">
        <v>305</v>
      </c>
      <c r="J88" s="742">
        <f t="shared" si="13"/>
        <v>1165.0999999999999</v>
      </c>
      <c r="K88" s="742">
        <f t="shared" si="14"/>
        <v>14628.842016314806</v>
      </c>
      <c r="L88" s="658">
        <v>10670</v>
      </c>
      <c r="M88" s="756"/>
      <c r="O88" s="737"/>
      <c r="P88" s="737"/>
      <c r="Q88" s="737"/>
    </row>
    <row r="89" spans="1:17" ht="17.25" customHeight="1">
      <c r="A89" s="741">
        <f t="shared" si="3"/>
        <v>84</v>
      </c>
      <c r="B89" s="296" t="s">
        <v>672</v>
      </c>
      <c r="C89" s="759">
        <v>42614</v>
      </c>
      <c r="D89" s="760" t="s">
        <v>671</v>
      </c>
      <c r="E89" s="838">
        <v>52</v>
      </c>
      <c r="F89" s="837">
        <v>28</v>
      </c>
      <c r="G89" s="837">
        <v>28</v>
      </c>
      <c r="H89" s="833">
        <f t="shared" si="12"/>
        <v>2.41</v>
      </c>
      <c r="I89" s="256">
        <v>504</v>
      </c>
      <c r="J89" s="742">
        <f t="shared" si="13"/>
        <v>1214.6400000000001</v>
      </c>
      <c r="K89" s="742">
        <f t="shared" si="14"/>
        <v>9229.1909055808082</v>
      </c>
      <c r="L89" s="658">
        <v>6400</v>
      </c>
      <c r="M89" s="756"/>
      <c r="O89" s="737"/>
      <c r="P89" s="737"/>
      <c r="Q89" s="737"/>
    </row>
    <row r="90" spans="1:17" ht="17.25" customHeight="1">
      <c r="A90" s="741">
        <f t="shared" si="3"/>
        <v>85</v>
      </c>
      <c r="B90" s="296" t="s">
        <v>674</v>
      </c>
      <c r="C90" s="759">
        <v>42614</v>
      </c>
      <c r="D90" s="760" t="s">
        <v>673</v>
      </c>
      <c r="E90" s="838">
        <v>32</v>
      </c>
      <c r="F90" s="837">
        <v>26</v>
      </c>
      <c r="G90" s="837">
        <v>25</v>
      </c>
      <c r="H90" s="833">
        <f t="shared" si="12"/>
        <v>1.91</v>
      </c>
      <c r="I90" s="256">
        <v>2660</v>
      </c>
      <c r="J90" s="742">
        <f t="shared" si="13"/>
        <v>5080.5999999999995</v>
      </c>
      <c r="K90" s="742">
        <f t="shared" si="14"/>
        <v>7314.4210081574029</v>
      </c>
      <c r="L90" s="658">
        <v>7350</v>
      </c>
      <c r="M90" s="756"/>
      <c r="O90" s="737"/>
      <c r="P90" s="737"/>
      <c r="Q90" s="737"/>
    </row>
    <row r="91" spans="1:17" ht="17.25" customHeight="1">
      <c r="A91" s="741">
        <f t="shared" si="3"/>
        <v>86</v>
      </c>
      <c r="B91" s="296" t="s">
        <v>585</v>
      </c>
      <c r="C91" s="759">
        <v>42618</v>
      </c>
      <c r="D91" s="760" t="s">
        <v>675</v>
      </c>
      <c r="E91" s="838"/>
      <c r="F91" s="837"/>
      <c r="G91" s="837"/>
      <c r="H91" s="833">
        <f t="shared" si="12"/>
        <v>0.36</v>
      </c>
      <c r="I91" s="256">
        <v>412</v>
      </c>
      <c r="J91" s="742">
        <f t="shared" si="13"/>
        <v>148.32</v>
      </c>
      <c r="K91" s="742">
        <f t="shared" si="14"/>
        <v>1378.6343261448508</v>
      </c>
      <c r="L91" s="658">
        <v>11800</v>
      </c>
      <c r="M91" s="756"/>
      <c r="O91" s="737"/>
      <c r="P91" s="737"/>
      <c r="Q91" s="737"/>
    </row>
    <row r="92" spans="1:17" ht="17.25" customHeight="1">
      <c r="A92" s="741">
        <f t="shared" si="3"/>
        <v>87</v>
      </c>
      <c r="B92" s="296" t="s">
        <v>585</v>
      </c>
      <c r="C92" s="759">
        <v>42618</v>
      </c>
      <c r="D92" s="760" t="s">
        <v>675</v>
      </c>
      <c r="E92" s="838"/>
      <c r="F92" s="837"/>
      <c r="G92" s="837"/>
      <c r="H92" s="833">
        <f t="shared" si="12"/>
        <v>0.36</v>
      </c>
      <c r="I92" s="256">
        <v>382</v>
      </c>
      <c r="J92" s="742">
        <f t="shared" si="13"/>
        <v>137.51999999999998</v>
      </c>
      <c r="K92" s="742">
        <f t="shared" si="14"/>
        <v>1378.6343261448508</v>
      </c>
      <c r="L92" s="658">
        <v>9400</v>
      </c>
      <c r="M92" s="756"/>
      <c r="O92" s="737"/>
      <c r="P92" s="737"/>
      <c r="Q92" s="737"/>
    </row>
    <row r="93" spans="1:17" ht="17.25" customHeight="1">
      <c r="A93" s="741">
        <f t="shared" si="3"/>
        <v>88</v>
      </c>
      <c r="B93" s="296" t="s">
        <v>585</v>
      </c>
      <c r="C93" s="759">
        <v>42618</v>
      </c>
      <c r="D93" s="760" t="s">
        <v>675</v>
      </c>
      <c r="E93" s="838"/>
      <c r="F93" s="837"/>
      <c r="G93" s="837"/>
      <c r="H93" s="833">
        <f t="shared" si="12"/>
        <v>0.36</v>
      </c>
      <c r="I93" s="256">
        <v>110</v>
      </c>
      <c r="J93" s="742">
        <f t="shared" si="13"/>
        <v>39.6</v>
      </c>
      <c r="K93" s="742">
        <f t="shared" si="14"/>
        <v>1378.6343261448508</v>
      </c>
      <c r="L93" s="658">
        <v>16700</v>
      </c>
      <c r="M93" s="756"/>
      <c r="O93" s="737"/>
      <c r="P93" s="737"/>
      <c r="Q93" s="737"/>
    </row>
    <row r="94" spans="1:17" ht="17.25" customHeight="1">
      <c r="A94" s="741">
        <f t="shared" si="3"/>
        <v>89</v>
      </c>
      <c r="B94" s="296" t="s">
        <v>585</v>
      </c>
      <c r="C94" s="759">
        <v>42618</v>
      </c>
      <c r="D94" s="760" t="s">
        <v>675</v>
      </c>
      <c r="E94" s="838"/>
      <c r="F94" s="837"/>
      <c r="G94" s="837"/>
      <c r="H94" s="833">
        <f t="shared" si="12"/>
        <v>0.36</v>
      </c>
      <c r="I94" s="256">
        <v>110</v>
      </c>
      <c r="J94" s="742">
        <f t="shared" si="13"/>
        <v>39.6</v>
      </c>
      <c r="K94" s="742">
        <f t="shared" si="14"/>
        <v>1378.6343261448508</v>
      </c>
      <c r="L94" s="658">
        <v>6300</v>
      </c>
      <c r="M94" s="756"/>
      <c r="O94" s="737"/>
      <c r="P94" s="737"/>
      <c r="Q94" s="737"/>
    </row>
    <row r="95" spans="1:17" ht="17.25" customHeight="1">
      <c r="A95" s="741">
        <f t="shared" si="3"/>
        <v>90</v>
      </c>
      <c r="B95" s="296" t="s">
        <v>585</v>
      </c>
      <c r="C95" s="759">
        <v>42618</v>
      </c>
      <c r="D95" s="760" t="s">
        <v>676</v>
      </c>
      <c r="E95" s="838"/>
      <c r="F95" s="837"/>
      <c r="G95" s="837"/>
      <c r="H95" s="833">
        <f t="shared" si="12"/>
        <v>0.36</v>
      </c>
      <c r="I95" s="256">
        <v>65</v>
      </c>
      <c r="J95" s="742">
        <f t="shared" si="13"/>
        <v>23.4</v>
      </c>
      <c r="K95" s="742">
        <f t="shared" si="14"/>
        <v>1378.6343261448508</v>
      </c>
      <c r="L95" s="658">
        <v>15600</v>
      </c>
      <c r="M95" s="756"/>
      <c r="O95" s="737"/>
      <c r="P95" s="737"/>
      <c r="Q95" s="737"/>
    </row>
    <row r="96" spans="1:17" ht="17.25" customHeight="1">
      <c r="A96" s="741">
        <f t="shared" si="3"/>
        <v>91</v>
      </c>
      <c r="B96" s="296" t="s">
        <v>585</v>
      </c>
      <c r="C96" s="759">
        <v>42618</v>
      </c>
      <c r="D96" s="760" t="s">
        <v>676</v>
      </c>
      <c r="E96" s="838"/>
      <c r="F96" s="837"/>
      <c r="G96" s="837"/>
      <c r="H96" s="833">
        <f t="shared" si="12"/>
        <v>0.36</v>
      </c>
      <c r="I96" s="256">
        <v>917</v>
      </c>
      <c r="J96" s="742">
        <f t="shared" si="13"/>
        <v>330.12</v>
      </c>
      <c r="K96" s="742">
        <f t="shared" si="14"/>
        <v>1378.6343261448508</v>
      </c>
      <c r="L96" s="658">
        <v>7900</v>
      </c>
      <c r="M96" s="756"/>
      <c r="O96" s="737"/>
      <c r="P96" s="737"/>
      <c r="Q96" s="737"/>
    </row>
    <row r="97" spans="1:17" ht="17.25" customHeight="1">
      <c r="A97" s="741">
        <f t="shared" si="3"/>
        <v>92</v>
      </c>
      <c r="B97" s="296" t="s">
        <v>585</v>
      </c>
      <c r="C97" s="759">
        <v>42618</v>
      </c>
      <c r="D97" s="760" t="s">
        <v>676</v>
      </c>
      <c r="E97" s="838"/>
      <c r="F97" s="837"/>
      <c r="G97" s="837"/>
      <c r="H97" s="833">
        <f t="shared" si="12"/>
        <v>0.36</v>
      </c>
      <c r="I97" s="256">
        <v>72</v>
      </c>
      <c r="J97" s="742">
        <f t="shared" si="13"/>
        <v>25.919999999999998</v>
      </c>
      <c r="K97" s="742">
        <f t="shared" si="14"/>
        <v>1378.6343261448508</v>
      </c>
      <c r="L97" s="658">
        <v>9400</v>
      </c>
      <c r="M97" s="756"/>
      <c r="O97" s="737"/>
      <c r="P97" s="737"/>
      <c r="Q97" s="737"/>
    </row>
    <row r="98" spans="1:17" ht="17.25" customHeight="1">
      <c r="A98" s="741">
        <f t="shared" si="3"/>
        <v>93</v>
      </c>
      <c r="B98" s="296" t="s">
        <v>608</v>
      </c>
      <c r="C98" s="759">
        <v>42619</v>
      </c>
      <c r="D98" s="760" t="s">
        <v>677</v>
      </c>
      <c r="E98" s="838">
        <v>37.5</v>
      </c>
      <c r="F98" s="837">
        <v>25.5</v>
      </c>
      <c r="G98" s="837">
        <v>23.9</v>
      </c>
      <c r="H98" s="833">
        <f t="shared" si="12"/>
        <v>1.95</v>
      </c>
      <c r="I98" s="256">
        <v>1036</v>
      </c>
      <c r="J98" s="742">
        <f t="shared" si="13"/>
        <v>2020.2</v>
      </c>
      <c r="K98" s="742">
        <f t="shared" si="14"/>
        <v>7467.6025999512758</v>
      </c>
      <c r="L98" s="658">
        <v>5900</v>
      </c>
      <c r="M98" s="756"/>
      <c r="O98" s="737"/>
      <c r="P98" s="737"/>
      <c r="Q98" s="737"/>
    </row>
    <row r="99" spans="1:17" ht="17.25" customHeight="1">
      <c r="A99" s="741">
        <f t="shared" si="3"/>
        <v>94</v>
      </c>
      <c r="B99" s="296" t="s">
        <v>650</v>
      </c>
      <c r="C99" s="759">
        <v>42619</v>
      </c>
      <c r="D99" s="760" t="s">
        <v>678</v>
      </c>
      <c r="E99" s="838"/>
      <c r="F99" s="837"/>
      <c r="G99" s="837"/>
      <c r="H99" s="833">
        <f t="shared" si="12"/>
        <v>0.36</v>
      </c>
      <c r="I99" s="256">
        <v>212</v>
      </c>
      <c r="J99" s="742">
        <f t="shared" si="13"/>
        <v>76.319999999999993</v>
      </c>
      <c r="K99" s="742">
        <f t="shared" si="14"/>
        <v>1378.6343261448508</v>
      </c>
      <c r="L99" s="658">
        <v>9300</v>
      </c>
      <c r="M99" s="756"/>
      <c r="O99" s="737"/>
      <c r="P99" s="737"/>
      <c r="Q99" s="737"/>
    </row>
    <row r="100" spans="1:17" ht="17.25" customHeight="1">
      <c r="A100" s="741">
        <f t="shared" si="3"/>
        <v>95</v>
      </c>
      <c r="B100" s="296" t="s">
        <v>585</v>
      </c>
      <c r="C100" s="759">
        <v>42619</v>
      </c>
      <c r="D100" s="760" t="s">
        <v>679</v>
      </c>
      <c r="E100" s="838"/>
      <c r="F100" s="837"/>
      <c r="G100" s="837"/>
      <c r="H100" s="833">
        <f t="shared" si="12"/>
        <v>0.36</v>
      </c>
      <c r="I100" s="256">
        <v>212</v>
      </c>
      <c r="J100" s="742">
        <f t="shared" si="13"/>
        <v>76.319999999999993</v>
      </c>
      <c r="K100" s="742">
        <f t="shared" si="14"/>
        <v>1378.6343261448508</v>
      </c>
      <c r="L100" s="658">
        <v>9400</v>
      </c>
      <c r="M100" s="756"/>
      <c r="O100" s="737"/>
      <c r="P100" s="737"/>
      <c r="Q100" s="737"/>
    </row>
    <row r="101" spans="1:17" ht="17.25" customHeight="1">
      <c r="A101" s="741">
        <f t="shared" si="3"/>
        <v>96</v>
      </c>
      <c r="B101" s="296" t="s">
        <v>650</v>
      </c>
      <c r="C101" s="759">
        <v>42619</v>
      </c>
      <c r="D101" s="760" t="s">
        <v>681</v>
      </c>
      <c r="E101" s="838"/>
      <c r="F101" s="837"/>
      <c r="G101" s="837"/>
      <c r="H101" s="833">
        <f t="shared" si="12"/>
        <v>0.36</v>
      </c>
      <c r="I101" s="256">
        <v>247</v>
      </c>
      <c r="J101" s="742">
        <f t="shared" si="13"/>
        <v>88.92</v>
      </c>
      <c r="K101" s="742">
        <f t="shared" si="14"/>
        <v>1378.6343261448508</v>
      </c>
      <c r="L101" s="658">
        <v>10200</v>
      </c>
      <c r="M101" s="756"/>
      <c r="O101" s="737"/>
      <c r="P101" s="737"/>
      <c r="Q101" s="737"/>
    </row>
    <row r="102" spans="1:17" ht="17.25" customHeight="1">
      <c r="A102" s="741">
        <f t="shared" si="3"/>
        <v>97</v>
      </c>
      <c r="B102" s="296" t="s">
        <v>645</v>
      </c>
      <c r="C102" s="759">
        <v>42620</v>
      </c>
      <c r="D102" s="760" t="s">
        <v>682</v>
      </c>
      <c r="E102" s="838">
        <v>103</v>
      </c>
      <c r="F102" s="837">
        <v>50</v>
      </c>
      <c r="G102" s="837">
        <v>180</v>
      </c>
      <c r="H102" s="833">
        <f t="shared" si="12"/>
        <v>11.08</v>
      </c>
      <c r="I102" s="256">
        <v>60</v>
      </c>
      <c r="J102" s="742">
        <f t="shared" si="13"/>
        <v>664.8</v>
      </c>
      <c r="K102" s="742">
        <f t="shared" si="14"/>
        <v>42431.30092690263</v>
      </c>
      <c r="L102" s="658">
        <v>47449</v>
      </c>
      <c r="M102" s="756"/>
      <c r="O102" s="737"/>
      <c r="P102" s="737"/>
      <c r="Q102" s="737"/>
    </row>
    <row r="103" spans="1:17" ht="17.25" customHeight="1">
      <c r="A103" s="741">
        <f t="shared" si="3"/>
        <v>98</v>
      </c>
      <c r="B103" s="296" t="s">
        <v>585</v>
      </c>
      <c r="C103" s="759">
        <v>42620</v>
      </c>
      <c r="D103" s="760" t="s">
        <v>682</v>
      </c>
      <c r="E103" s="838"/>
      <c r="F103" s="837"/>
      <c r="G103" s="837"/>
      <c r="H103" s="833">
        <f t="shared" si="12"/>
        <v>0.36</v>
      </c>
      <c r="I103" s="256">
        <v>20</v>
      </c>
      <c r="J103" s="742">
        <f t="shared" si="13"/>
        <v>7.1999999999999993</v>
      </c>
      <c r="K103" s="742">
        <f t="shared" si="14"/>
        <v>1378.6343261448508</v>
      </c>
      <c r="L103" s="658">
        <v>54530</v>
      </c>
      <c r="M103" s="756"/>
      <c r="O103" s="737"/>
      <c r="P103" s="737"/>
      <c r="Q103" s="737"/>
    </row>
    <row r="104" spans="1:17" ht="17.25" customHeight="1">
      <c r="A104" s="741">
        <f t="shared" si="3"/>
        <v>99</v>
      </c>
      <c r="B104" s="296" t="s">
        <v>684</v>
      </c>
      <c r="C104" s="759">
        <v>42621</v>
      </c>
      <c r="D104" s="760" t="s">
        <v>683</v>
      </c>
      <c r="E104" s="838">
        <v>23.5</v>
      </c>
      <c r="F104" s="837">
        <v>23.5</v>
      </c>
      <c r="G104" s="837">
        <v>30</v>
      </c>
      <c r="H104" s="833">
        <f t="shared" si="12"/>
        <v>1.79</v>
      </c>
      <c r="I104" s="256">
        <v>1027</v>
      </c>
      <c r="J104" s="742">
        <f t="shared" si="13"/>
        <v>1838.33</v>
      </c>
      <c r="K104" s="742">
        <f t="shared" si="14"/>
        <v>6854.8762327757868</v>
      </c>
      <c r="L104" s="658">
        <v>6700</v>
      </c>
      <c r="M104" s="756"/>
      <c r="O104" s="737"/>
      <c r="P104" s="737"/>
      <c r="Q104" s="737"/>
    </row>
    <row r="105" spans="1:17" ht="17.25" customHeight="1">
      <c r="A105" s="741">
        <f t="shared" si="3"/>
        <v>100</v>
      </c>
      <c r="B105" s="296" t="s">
        <v>585</v>
      </c>
      <c r="C105" s="759">
        <v>42621</v>
      </c>
      <c r="D105" s="760" t="s">
        <v>685</v>
      </c>
      <c r="E105" s="838"/>
      <c r="F105" s="837"/>
      <c r="G105" s="837"/>
      <c r="H105" s="833">
        <f t="shared" si="12"/>
        <v>0.36</v>
      </c>
      <c r="I105" s="256">
        <v>300</v>
      </c>
      <c r="J105" s="742">
        <f t="shared" si="13"/>
        <v>108</v>
      </c>
      <c r="K105" s="742">
        <f t="shared" si="14"/>
        <v>1378.6343261448508</v>
      </c>
      <c r="L105" s="658">
        <v>12400</v>
      </c>
      <c r="M105" s="756"/>
      <c r="O105" s="737"/>
      <c r="P105" s="737"/>
      <c r="Q105" s="737"/>
    </row>
    <row r="106" spans="1:17" ht="17.25" customHeight="1">
      <c r="A106" s="741">
        <f t="shared" si="3"/>
        <v>101</v>
      </c>
      <c r="B106" s="296" t="s">
        <v>585</v>
      </c>
      <c r="C106" s="759">
        <v>42621</v>
      </c>
      <c r="D106" s="760" t="s">
        <v>685</v>
      </c>
      <c r="E106" s="838"/>
      <c r="F106" s="837"/>
      <c r="G106" s="837"/>
      <c r="H106" s="833">
        <f t="shared" si="12"/>
        <v>0.36</v>
      </c>
      <c r="I106" s="256">
        <v>300</v>
      </c>
      <c r="J106" s="742">
        <f t="shared" si="13"/>
        <v>108</v>
      </c>
      <c r="K106" s="742">
        <f t="shared" si="14"/>
        <v>1378.6343261448508</v>
      </c>
      <c r="L106" s="658">
        <v>14200</v>
      </c>
      <c r="M106" s="756"/>
      <c r="O106" s="737"/>
      <c r="P106" s="737"/>
      <c r="Q106" s="737"/>
    </row>
    <row r="107" spans="1:17" ht="17.25" customHeight="1">
      <c r="A107" s="741">
        <f t="shared" si="3"/>
        <v>102</v>
      </c>
      <c r="B107" s="296" t="s">
        <v>585</v>
      </c>
      <c r="C107" s="759">
        <v>42621</v>
      </c>
      <c r="D107" s="760" t="s">
        <v>685</v>
      </c>
      <c r="E107" s="838"/>
      <c r="F107" s="837"/>
      <c r="G107" s="837"/>
      <c r="H107" s="833">
        <f t="shared" si="12"/>
        <v>0.36</v>
      </c>
      <c r="I107" s="256">
        <v>300</v>
      </c>
      <c r="J107" s="742">
        <f t="shared" si="13"/>
        <v>108</v>
      </c>
      <c r="K107" s="742">
        <f t="shared" si="14"/>
        <v>1378.6343261448508</v>
      </c>
      <c r="L107" s="658">
        <v>15300</v>
      </c>
      <c r="M107" s="756"/>
      <c r="O107" s="737"/>
      <c r="P107" s="737"/>
      <c r="Q107" s="737"/>
    </row>
    <row r="108" spans="1:17" ht="17.25" customHeight="1">
      <c r="A108" s="741">
        <f t="shared" si="3"/>
        <v>103</v>
      </c>
      <c r="B108" s="296" t="s">
        <v>585</v>
      </c>
      <c r="C108" s="759">
        <v>42621</v>
      </c>
      <c r="D108" s="760" t="s">
        <v>685</v>
      </c>
      <c r="E108" s="838"/>
      <c r="F108" s="837"/>
      <c r="G108" s="837"/>
      <c r="H108" s="833">
        <f t="shared" si="12"/>
        <v>0.36</v>
      </c>
      <c r="I108" s="256">
        <v>300</v>
      </c>
      <c r="J108" s="742">
        <f t="shared" si="13"/>
        <v>108</v>
      </c>
      <c r="K108" s="742">
        <f t="shared" si="14"/>
        <v>1378.6343261448508</v>
      </c>
      <c r="L108" s="658">
        <v>16500</v>
      </c>
      <c r="M108" s="756"/>
      <c r="O108" s="737"/>
      <c r="P108" s="737"/>
      <c r="Q108" s="737"/>
    </row>
    <row r="109" spans="1:17" ht="17.25" customHeight="1">
      <c r="A109" s="741">
        <f t="shared" si="3"/>
        <v>104</v>
      </c>
      <c r="B109" s="296" t="s">
        <v>585</v>
      </c>
      <c r="C109" s="759">
        <v>42621</v>
      </c>
      <c r="D109" s="760" t="s">
        <v>685</v>
      </c>
      <c r="E109" s="838"/>
      <c r="F109" s="837"/>
      <c r="G109" s="837"/>
      <c r="H109" s="833">
        <f t="shared" si="4"/>
        <v>0.36</v>
      </c>
      <c r="I109" s="256">
        <v>300</v>
      </c>
      <c r="J109" s="742">
        <f t="shared" si="2"/>
        <v>108</v>
      </c>
      <c r="K109" s="742">
        <f t="shared" si="11"/>
        <v>1378.6343261448508</v>
      </c>
      <c r="L109" s="658">
        <v>19700</v>
      </c>
      <c r="M109" s="756"/>
      <c r="O109" s="737"/>
      <c r="P109" s="737"/>
      <c r="Q109" s="737"/>
    </row>
    <row r="110" spans="1:17" ht="17.25" customHeight="1">
      <c r="A110" s="741">
        <f t="shared" si="3"/>
        <v>105</v>
      </c>
      <c r="B110" s="296" t="s">
        <v>688</v>
      </c>
      <c r="C110" s="759">
        <v>42624</v>
      </c>
      <c r="D110" s="760" t="s">
        <v>686</v>
      </c>
      <c r="E110" s="838">
        <v>44.5</v>
      </c>
      <c r="F110" s="837">
        <v>28.5</v>
      </c>
      <c r="G110" s="837">
        <v>22.5</v>
      </c>
      <c r="H110" s="833">
        <f t="shared" si="4"/>
        <v>2.15</v>
      </c>
      <c r="I110" s="256">
        <v>10520</v>
      </c>
      <c r="J110" s="742">
        <f t="shared" si="2"/>
        <v>22618</v>
      </c>
      <c r="K110" s="742">
        <f t="shared" si="11"/>
        <v>8233.5105589206378</v>
      </c>
      <c r="L110" s="658">
        <v>9000</v>
      </c>
      <c r="M110" s="756"/>
      <c r="O110" s="737"/>
      <c r="P110" s="737"/>
      <c r="Q110" s="737"/>
    </row>
    <row r="111" spans="1:17" ht="17.25" customHeight="1">
      <c r="A111" s="741">
        <f t="shared" si="3"/>
        <v>106</v>
      </c>
      <c r="B111" s="296" t="s">
        <v>585</v>
      </c>
      <c r="C111" s="759">
        <v>42626</v>
      </c>
      <c r="D111" s="760" t="s">
        <v>689</v>
      </c>
      <c r="E111" s="838"/>
      <c r="F111" s="837"/>
      <c r="G111" s="837"/>
      <c r="H111" s="833">
        <f t="shared" si="4"/>
        <v>0.36</v>
      </c>
      <c r="I111" s="256">
        <v>210</v>
      </c>
      <c r="J111" s="742">
        <f t="shared" si="2"/>
        <v>75.599999999999994</v>
      </c>
      <c r="K111" s="742">
        <f t="shared" si="11"/>
        <v>1378.6343261448508</v>
      </c>
      <c r="L111" s="658">
        <v>9400</v>
      </c>
      <c r="M111" s="756"/>
      <c r="O111" s="737"/>
      <c r="P111" s="737"/>
      <c r="Q111" s="737"/>
    </row>
    <row r="112" spans="1:17" ht="17.25" customHeight="1">
      <c r="A112" s="741">
        <f t="shared" si="3"/>
        <v>107</v>
      </c>
      <c r="B112" s="296" t="s">
        <v>585</v>
      </c>
      <c r="C112" s="759">
        <v>42626</v>
      </c>
      <c r="D112" s="760" t="s">
        <v>689</v>
      </c>
      <c r="E112" s="838"/>
      <c r="F112" s="837"/>
      <c r="G112" s="837"/>
      <c r="H112" s="833">
        <f t="shared" si="4"/>
        <v>0.36</v>
      </c>
      <c r="I112" s="256">
        <v>200</v>
      </c>
      <c r="J112" s="742">
        <f t="shared" si="2"/>
        <v>72</v>
      </c>
      <c r="K112" s="742">
        <f t="shared" si="11"/>
        <v>1378.6343261448508</v>
      </c>
      <c r="L112" s="658">
        <v>9800</v>
      </c>
      <c r="M112" s="756"/>
      <c r="O112" s="737"/>
      <c r="P112" s="737"/>
      <c r="Q112" s="737"/>
    </row>
    <row r="113" spans="1:17" ht="17.25" customHeight="1">
      <c r="A113" s="741">
        <f t="shared" si="3"/>
        <v>108</v>
      </c>
      <c r="B113" s="296" t="s">
        <v>585</v>
      </c>
      <c r="C113" s="759">
        <v>42626</v>
      </c>
      <c r="D113" s="760" t="s">
        <v>689</v>
      </c>
      <c r="E113" s="838"/>
      <c r="F113" s="837"/>
      <c r="G113" s="837"/>
      <c r="H113" s="833">
        <f t="shared" si="4"/>
        <v>0.36</v>
      </c>
      <c r="I113" s="256">
        <v>171</v>
      </c>
      <c r="J113" s="742">
        <f t="shared" si="2"/>
        <v>61.559999999999995</v>
      </c>
      <c r="K113" s="742">
        <f t="shared" si="11"/>
        <v>1378.6343261448508</v>
      </c>
      <c r="L113" s="658">
        <v>11250</v>
      </c>
      <c r="M113" s="756"/>
      <c r="O113" s="737"/>
      <c r="P113" s="737"/>
      <c r="Q113" s="737"/>
    </row>
    <row r="114" spans="1:17" ht="17.25" customHeight="1">
      <c r="A114" s="741">
        <f t="shared" si="3"/>
        <v>109</v>
      </c>
      <c r="B114" s="296" t="s">
        <v>585</v>
      </c>
      <c r="C114" s="759">
        <v>42627</v>
      </c>
      <c r="D114" s="760" t="s">
        <v>690</v>
      </c>
      <c r="E114" s="838"/>
      <c r="F114" s="837"/>
      <c r="G114" s="837"/>
      <c r="H114" s="833">
        <f t="shared" si="4"/>
        <v>0.36</v>
      </c>
      <c r="I114" s="256">
        <v>2400</v>
      </c>
      <c r="J114" s="742">
        <f t="shared" si="2"/>
        <v>864</v>
      </c>
      <c r="K114" s="742">
        <f t="shared" si="11"/>
        <v>1378.6343261448508</v>
      </c>
      <c r="L114" s="658">
        <v>5200</v>
      </c>
      <c r="M114" s="756"/>
      <c r="O114" s="737"/>
      <c r="P114" s="737"/>
      <c r="Q114" s="737"/>
    </row>
    <row r="115" spans="1:17" ht="17.25" customHeight="1">
      <c r="A115" s="741">
        <f t="shared" si="3"/>
        <v>110</v>
      </c>
      <c r="B115" s="296" t="s">
        <v>585</v>
      </c>
      <c r="C115" s="759">
        <v>42627</v>
      </c>
      <c r="D115" s="760" t="s">
        <v>690</v>
      </c>
      <c r="E115" s="838"/>
      <c r="F115" s="837"/>
      <c r="G115" s="837"/>
      <c r="H115" s="833">
        <f t="shared" si="4"/>
        <v>0.36</v>
      </c>
      <c r="I115" s="256">
        <v>500</v>
      </c>
      <c r="J115" s="742">
        <f t="shared" si="2"/>
        <v>180</v>
      </c>
      <c r="K115" s="742">
        <f t="shared" si="11"/>
        <v>1378.6343261448508</v>
      </c>
      <c r="L115" s="658">
        <v>10200</v>
      </c>
      <c r="M115" s="756"/>
      <c r="O115" s="737"/>
      <c r="P115" s="737"/>
      <c r="Q115" s="737"/>
    </row>
    <row r="116" spans="1:17" ht="17.25" customHeight="1">
      <c r="A116" s="741">
        <f t="shared" si="3"/>
        <v>111</v>
      </c>
      <c r="B116" s="296" t="s">
        <v>627</v>
      </c>
      <c r="C116" s="759">
        <v>42628</v>
      </c>
      <c r="D116" s="760" t="s">
        <v>691</v>
      </c>
      <c r="E116" s="838">
        <v>52</v>
      </c>
      <c r="F116" s="837">
        <v>24.5</v>
      </c>
      <c r="G116" s="837">
        <v>24.5</v>
      </c>
      <c r="H116" s="833">
        <f t="shared" si="4"/>
        <v>2.16</v>
      </c>
      <c r="I116" s="256">
        <v>1820</v>
      </c>
      <c r="J116" s="742">
        <f t="shared" si="2"/>
        <v>3931.2000000000003</v>
      </c>
      <c r="K116" s="742">
        <f t="shared" si="11"/>
        <v>8271.805956869106</v>
      </c>
      <c r="L116" s="658">
        <v>5000</v>
      </c>
      <c r="M116" s="756"/>
      <c r="O116" s="737"/>
      <c r="P116" s="737"/>
      <c r="Q116" s="737"/>
    </row>
    <row r="117" spans="1:17" ht="17.25" customHeight="1">
      <c r="A117" s="741">
        <f t="shared" si="3"/>
        <v>112</v>
      </c>
      <c r="B117" s="296" t="s">
        <v>692</v>
      </c>
      <c r="C117" s="759">
        <v>42628</v>
      </c>
      <c r="D117" s="760" t="s">
        <v>691</v>
      </c>
      <c r="E117" s="838">
        <v>52</v>
      </c>
      <c r="F117" s="837">
        <v>26.5</v>
      </c>
      <c r="G117" s="837">
        <v>26.5</v>
      </c>
      <c r="H117" s="833">
        <f t="shared" si="4"/>
        <v>2.2999999999999998</v>
      </c>
      <c r="I117" s="256">
        <v>620</v>
      </c>
      <c r="J117" s="742">
        <f t="shared" si="2"/>
        <v>1426</v>
      </c>
      <c r="K117" s="742">
        <f t="shared" si="11"/>
        <v>8807.9415281476577</v>
      </c>
      <c r="L117" s="658">
        <v>5550</v>
      </c>
      <c r="M117" s="756"/>
      <c r="O117" s="737"/>
      <c r="P117" s="737"/>
      <c r="Q117" s="737"/>
    </row>
    <row r="118" spans="1:17" ht="17.25" customHeight="1">
      <c r="A118" s="741">
        <f t="shared" si="3"/>
        <v>113</v>
      </c>
      <c r="B118" s="296" t="s">
        <v>693</v>
      </c>
      <c r="C118" s="759">
        <v>42628</v>
      </c>
      <c r="D118" s="760" t="s">
        <v>691</v>
      </c>
      <c r="E118" s="838">
        <v>52</v>
      </c>
      <c r="F118" s="837">
        <v>32</v>
      </c>
      <c r="G118" s="837">
        <v>12</v>
      </c>
      <c r="H118" s="833">
        <f t="shared" si="4"/>
        <v>2.13</v>
      </c>
      <c r="I118" s="256">
        <v>304</v>
      </c>
      <c r="J118" s="742">
        <f t="shared" si="2"/>
        <v>647.52</v>
      </c>
      <c r="K118" s="742">
        <f t="shared" si="11"/>
        <v>8156.9197630237004</v>
      </c>
      <c r="L118" s="658">
        <v>5800</v>
      </c>
      <c r="M118" s="756"/>
      <c r="O118" s="737"/>
      <c r="P118" s="737"/>
      <c r="Q118" s="737"/>
    </row>
    <row r="119" spans="1:17" ht="17.25" customHeight="1">
      <c r="A119" s="741">
        <f t="shared" si="3"/>
        <v>114</v>
      </c>
      <c r="B119" s="296" t="s">
        <v>694</v>
      </c>
      <c r="C119" s="759">
        <v>42628</v>
      </c>
      <c r="D119" s="760" t="s">
        <v>691</v>
      </c>
      <c r="E119" s="838">
        <v>50</v>
      </c>
      <c r="F119" s="837">
        <v>25</v>
      </c>
      <c r="G119" s="837">
        <v>30</v>
      </c>
      <c r="H119" s="833">
        <f t="shared" si="4"/>
        <v>2.2999999999999998</v>
      </c>
      <c r="I119" s="256">
        <v>316</v>
      </c>
      <c r="J119" s="742">
        <f t="shared" si="2"/>
        <v>726.8</v>
      </c>
      <c r="K119" s="742">
        <f t="shared" si="11"/>
        <v>8807.9415281476577</v>
      </c>
      <c r="L119" s="658">
        <v>5600</v>
      </c>
      <c r="M119" s="756"/>
      <c r="O119" s="737"/>
      <c r="P119" s="737"/>
      <c r="Q119" s="737"/>
    </row>
    <row r="120" spans="1:17" ht="17.25" customHeight="1">
      <c r="A120" s="741">
        <f t="shared" si="3"/>
        <v>115</v>
      </c>
      <c r="B120" s="296" t="s">
        <v>618</v>
      </c>
      <c r="C120" s="759">
        <v>42635</v>
      </c>
      <c r="D120" s="760" t="s">
        <v>695</v>
      </c>
      <c r="E120" s="838">
        <v>49</v>
      </c>
      <c r="F120" s="837">
        <v>38</v>
      </c>
      <c r="G120" s="837">
        <v>12</v>
      </c>
      <c r="H120" s="833">
        <f t="shared" si="4"/>
        <v>2.35</v>
      </c>
      <c r="I120" s="256">
        <v>300</v>
      </c>
      <c r="J120" s="742">
        <f t="shared" si="2"/>
        <v>705</v>
      </c>
      <c r="K120" s="742">
        <f t="shared" si="11"/>
        <v>8999.4185178899988</v>
      </c>
      <c r="L120" s="658">
        <v>10500</v>
      </c>
      <c r="M120" s="756"/>
      <c r="O120" s="737"/>
      <c r="P120" s="737"/>
      <c r="Q120" s="737"/>
    </row>
    <row r="121" spans="1:17" ht="17.25" customHeight="1">
      <c r="A121" s="741">
        <f t="shared" ref="A121:A129" si="15">IF(B121&lt;&gt;"",A120+1,"")</f>
        <v>116</v>
      </c>
      <c r="B121" s="296" t="s">
        <v>697</v>
      </c>
      <c r="C121" s="759">
        <v>42639</v>
      </c>
      <c r="D121" s="760" t="s">
        <v>696</v>
      </c>
      <c r="E121" s="838">
        <v>41.5</v>
      </c>
      <c r="F121" s="837">
        <v>24.5</v>
      </c>
      <c r="G121" s="837">
        <v>11.6</v>
      </c>
      <c r="H121" s="833">
        <f t="shared" si="4"/>
        <v>1.67</v>
      </c>
      <c r="I121" s="256">
        <v>109</v>
      </c>
      <c r="J121" s="742">
        <f t="shared" si="2"/>
        <v>182.03</v>
      </c>
      <c r="K121" s="742">
        <f t="shared" si="11"/>
        <v>6395.3314573941689</v>
      </c>
      <c r="L121" s="658">
        <v>6400</v>
      </c>
      <c r="M121" s="756"/>
      <c r="O121" s="737"/>
      <c r="P121" s="737"/>
      <c r="Q121" s="737"/>
    </row>
    <row r="122" spans="1:17" ht="17.25" customHeight="1">
      <c r="A122" s="741">
        <f t="shared" si="15"/>
        <v>117</v>
      </c>
      <c r="B122" s="296" t="s">
        <v>698</v>
      </c>
      <c r="C122" s="759">
        <v>42639</v>
      </c>
      <c r="D122" s="760" t="s">
        <v>696</v>
      </c>
      <c r="E122" s="838">
        <v>46.5</v>
      </c>
      <c r="F122" s="837">
        <v>26.5</v>
      </c>
      <c r="G122" s="837">
        <v>11.5</v>
      </c>
      <c r="H122" s="833">
        <f t="shared" si="4"/>
        <v>1.81</v>
      </c>
      <c r="I122" s="256">
        <v>102</v>
      </c>
      <c r="J122" s="742">
        <f t="shared" si="2"/>
        <v>184.62</v>
      </c>
      <c r="K122" s="742">
        <f t="shared" si="11"/>
        <v>6931.4670286727223</v>
      </c>
      <c r="L122" s="658">
        <v>7300</v>
      </c>
      <c r="M122" s="756"/>
      <c r="O122" s="737"/>
      <c r="P122" s="737"/>
      <c r="Q122" s="737"/>
    </row>
    <row r="123" spans="1:17" ht="17.25" customHeight="1">
      <c r="A123" s="741">
        <f t="shared" si="15"/>
        <v>118</v>
      </c>
      <c r="B123" s="296" t="s">
        <v>585</v>
      </c>
      <c r="C123" s="759">
        <v>42639</v>
      </c>
      <c r="D123" s="760" t="s">
        <v>696</v>
      </c>
      <c r="E123" s="838"/>
      <c r="F123" s="837"/>
      <c r="G123" s="837"/>
      <c r="H123" s="833">
        <f t="shared" si="4"/>
        <v>0.36</v>
      </c>
      <c r="I123" s="256">
        <v>56</v>
      </c>
      <c r="J123" s="742">
        <f t="shared" si="2"/>
        <v>20.16</v>
      </c>
      <c r="K123" s="742">
        <f t="shared" si="11"/>
        <v>1378.6343261448508</v>
      </c>
      <c r="L123" s="658">
        <v>11250</v>
      </c>
      <c r="M123" s="756"/>
      <c r="O123" s="737"/>
      <c r="P123" s="737"/>
      <c r="Q123" s="737"/>
    </row>
    <row r="124" spans="1:17" ht="17.25" customHeight="1">
      <c r="A124" s="741">
        <f t="shared" si="15"/>
        <v>119</v>
      </c>
      <c r="B124" s="296" t="s">
        <v>585</v>
      </c>
      <c r="C124" s="759">
        <v>42640</v>
      </c>
      <c r="D124" s="760" t="s">
        <v>699</v>
      </c>
      <c r="E124" s="838"/>
      <c r="F124" s="837"/>
      <c r="G124" s="837"/>
      <c r="H124" s="833">
        <f t="shared" si="4"/>
        <v>0.36</v>
      </c>
      <c r="I124" s="256">
        <v>533</v>
      </c>
      <c r="J124" s="742">
        <f t="shared" si="2"/>
        <v>191.88</v>
      </c>
      <c r="K124" s="742">
        <f t="shared" si="11"/>
        <v>1378.6343261448508</v>
      </c>
      <c r="L124" s="658">
        <v>9400</v>
      </c>
      <c r="M124" s="756"/>
      <c r="O124" s="737"/>
      <c r="P124" s="737"/>
      <c r="Q124" s="737"/>
    </row>
    <row r="125" spans="1:17" ht="17.25" customHeight="1">
      <c r="A125" s="741">
        <f t="shared" si="15"/>
        <v>120</v>
      </c>
      <c r="B125" s="296" t="s">
        <v>585</v>
      </c>
      <c r="C125" s="759">
        <v>42640</v>
      </c>
      <c r="D125" s="760" t="s">
        <v>700</v>
      </c>
      <c r="E125" s="838"/>
      <c r="F125" s="837"/>
      <c r="G125" s="837"/>
      <c r="H125" s="833">
        <f t="shared" si="4"/>
        <v>0.36</v>
      </c>
      <c r="I125" s="256">
        <v>156</v>
      </c>
      <c r="J125" s="742">
        <f t="shared" si="2"/>
        <v>56.16</v>
      </c>
      <c r="K125" s="742">
        <f t="shared" si="11"/>
        <v>1378.6343261448508</v>
      </c>
      <c r="L125" s="658">
        <v>9400</v>
      </c>
      <c r="M125" s="756"/>
      <c r="O125" s="737"/>
      <c r="P125" s="737"/>
      <c r="Q125" s="737"/>
    </row>
    <row r="126" spans="1:17" ht="17.25" customHeight="1">
      <c r="A126" s="741">
        <f t="shared" si="15"/>
        <v>121</v>
      </c>
      <c r="B126" s="296" t="s">
        <v>585</v>
      </c>
      <c r="C126" s="759">
        <v>42640</v>
      </c>
      <c r="D126" s="760" t="s">
        <v>700</v>
      </c>
      <c r="E126" s="838"/>
      <c r="F126" s="837"/>
      <c r="G126" s="837"/>
      <c r="H126" s="833">
        <f t="shared" si="4"/>
        <v>0.36</v>
      </c>
      <c r="I126" s="256">
        <v>2520</v>
      </c>
      <c r="J126" s="742">
        <f t="shared" si="2"/>
        <v>907.19999999999993</v>
      </c>
      <c r="K126" s="742">
        <f t="shared" si="11"/>
        <v>1378.6343261448508</v>
      </c>
      <c r="L126" s="658">
        <v>7900</v>
      </c>
      <c r="M126" s="756"/>
      <c r="O126" s="737"/>
      <c r="P126" s="737"/>
      <c r="Q126" s="737"/>
    </row>
    <row r="127" spans="1:17" ht="17.25" customHeight="1">
      <c r="A127" s="741">
        <f t="shared" si="15"/>
        <v>122</v>
      </c>
      <c r="B127" s="296" t="s">
        <v>585</v>
      </c>
      <c r="C127" s="759">
        <v>42640</v>
      </c>
      <c r="D127" s="760" t="s">
        <v>700</v>
      </c>
      <c r="E127" s="838"/>
      <c r="F127" s="837"/>
      <c r="G127" s="837"/>
      <c r="H127" s="833">
        <f t="shared" si="4"/>
        <v>0.36</v>
      </c>
      <c r="I127" s="256">
        <v>44</v>
      </c>
      <c r="J127" s="742">
        <f t="shared" si="2"/>
        <v>15.84</v>
      </c>
      <c r="K127" s="742">
        <f t="shared" si="11"/>
        <v>1378.6343261448508</v>
      </c>
      <c r="L127" s="658">
        <v>17600</v>
      </c>
      <c r="M127" s="756"/>
      <c r="O127" s="737"/>
      <c r="P127" s="737"/>
      <c r="Q127" s="737"/>
    </row>
    <row r="128" spans="1:17" ht="17.25" customHeight="1">
      <c r="A128" s="741">
        <f t="shared" si="15"/>
        <v>123</v>
      </c>
      <c r="B128" s="296" t="s">
        <v>650</v>
      </c>
      <c r="C128" s="759">
        <v>42640</v>
      </c>
      <c r="D128" s="760" t="s">
        <v>702</v>
      </c>
      <c r="E128" s="838"/>
      <c r="F128" s="837"/>
      <c r="G128" s="837"/>
      <c r="H128" s="833">
        <f t="shared" si="4"/>
        <v>0.36</v>
      </c>
      <c r="I128" s="256">
        <v>309</v>
      </c>
      <c r="J128" s="742">
        <f t="shared" si="2"/>
        <v>111.24</v>
      </c>
      <c r="K128" s="742">
        <f t="shared" si="11"/>
        <v>1378.6343261448508</v>
      </c>
      <c r="L128" s="658">
        <v>10200</v>
      </c>
      <c r="M128" s="756"/>
      <c r="O128" s="737"/>
      <c r="P128" s="737"/>
      <c r="Q128" s="737"/>
    </row>
    <row r="129" spans="1:19" ht="17.25" customHeight="1">
      <c r="A129" s="741">
        <f t="shared" si="15"/>
        <v>124</v>
      </c>
      <c r="B129" s="296" t="s">
        <v>609</v>
      </c>
      <c r="C129" s="759">
        <v>42641</v>
      </c>
      <c r="D129" s="760" t="s">
        <v>703</v>
      </c>
      <c r="E129" s="838">
        <v>49.5</v>
      </c>
      <c r="F129" s="837">
        <v>38.5</v>
      </c>
      <c r="G129" s="837">
        <v>32.5</v>
      </c>
      <c r="H129" s="833">
        <f t="shared" si="4"/>
        <v>2.99</v>
      </c>
      <c r="I129" s="256">
        <v>211</v>
      </c>
      <c r="J129" s="742">
        <f t="shared" si="2"/>
        <v>630.8900000000001</v>
      </c>
      <c r="K129" s="742">
        <f t="shared" si="11"/>
        <v>11450.323986591957</v>
      </c>
      <c r="L129" s="658">
        <v>12900</v>
      </c>
      <c r="M129" s="756"/>
      <c r="O129" s="737"/>
      <c r="P129" s="737"/>
      <c r="Q129" s="737"/>
    </row>
    <row r="130" spans="1:19" s="762" customFormat="1" ht="17.25" customHeight="1">
      <c r="A130" s="741"/>
      <c r="B130" s="296"/>
      <c r="C130" s="826"/>
      <c r="D130" s="761"/>
      <c r="E130" s="838"/>
      <c r="F130" s="837"/>
      <c r="G130" s="837"/>
      <c r="H130" s="742"/>
      <c r="I130" s="256"/>
      <c r="J130" s="742"/>
      <c r="K130" s="742"/>
      <c r="L130" s="658"/>
      <c r="M130" s="658"/>
    </row>
    <row r="131" spans="1:19" s="738" customFormat="1" ht="17.25" customHeight="1">
      <c r="A131" s="743"/>
      <c r="B131" s="744" t="s">
        <v>243</v>
      </c>
      <c r="C131" s="763"/>
      <c r="D131" s="764"/>
      <c r="E131" s="831"/>
      <c r="F131" s="831"/>
      <c r="G131" s="831"/>
      <c r="H131" s="834">
        <f>ROUND(SUM(H6:H130),2)</f>
        <v>250.14</v>
      </c>
      <c r="I131" s="529">
        <f>ROUND(SUM(I6:I130),2)</f>
        <v>66850</v>
      </c>
      <c r="J131" s="529">
        <f>ROUND(SUM(J6:J130),2)</f>
        <v>123099.23</v>
      </c>
      <c r="K131" s="529"/>
      <c r="L131" s="752"/>
      <c r="M131" s="752"/>
      <c r="S131" s="529"/>
    </row>
    <row r="132" spans="1:19" s="738" customFormat="1">
      <c r="A132" s="745"/>
      <c r="B132" s="746"/>
      <c r="C132" s="765"/>
      <c r="D132" s="766"/>
      <c r="E132" s="835"/>
      <c r="F132" s="835"/>
      <c r="G132" s="835"/>
      <c r="H132" s="739"/>
      <c r="I132" s="739"/>
      <c r="J132" s="739"/>
      <c r="K132" s="739"/>
      <c r="L132" s="752"/>
      <c r="M132" s="752"/>
    </row>
    <row r="133" spans="1:19">
      <c r="C133" s="765"/>
      <c r="D133" s="766"/>
      <c r="E133" s="839"/>
      <c r="F133" s="839"/>
      <c r="G133" s="840"/>
      <c r="H133" s="748"/>
      <c r="I133" s="739"/>
      <c r="J133" s="739"/>
      <c r="O133" s="737"/>
      <c r="P133" s="737"/>
      <c r="Q133" s="737"/>
    </row>
    <row r="134" spans="1:19" ht="18" customHeight="1">
      <c r="A134" s="567" t="str">
        <f>TH!$A$1</f>
        <v>Đơn vị: CÔNG TY TNHH SX TM KIM DUNG PHÁT</v>
      </c>
      <c r="B134" s="738"/>
      <c r="C134" s="765"/>
      <c r="D134" s="766"/>
      <c r="H134" s="292"/>
      <c r="I134" s="595"/>
      <c r="J134" s="595"/>
      <c r="K134" s="292"/>
      <c r="M134" s="752"/>
      <c r="N134" s="747"/>
      <c r="O134" s="737"/>
      <c r="P134" s="737"/>
      <c r="Q134" s="737"/>
    </row>
    <row r="135" spans="1:19" ht="18.75" customHeight="1">
      <c r="A135" s="739" t="s">
        <v>499</v>
      </c>
      <c r="B135" s="739"/>
      <c r="C135" s="765"/>
      <c r="D135" s="766"/>
      <c r="E135" s="835"/>
      <c r="F135" s="835"/>
      <c r="G135" s="835"/>
      <c r="H135" s="739"/>
      <c r="I135" s="739"/>
      <c r="J135" s="739"/>
      <c r="K135" s="739"/>
      <c r="M135" s="752"/>
      <c r="O135" s="737"/>
      <c r="P135" s="737"/>
      <c r="Q135" s="737"/>
    </row>
    <row r="136" spans="1:19" ht="18.75" customHeight="1">
      <c r="A136" s="739"/>
      <c r="B136" s="740"/>
      <c r="C136" s="765"/>
      <c r="D136" s="766"/>
      <c r="E136" s="832"/>
      <c r="F136" s="832"/>
      <c r="G136" s="832"/>
      <c r="H136" s="740"/>
      <c r="I136" s="753"/>
      <c r="J136" s="753"/>
      <c r="K136" s="740"/>
      <c r="M136" s="752"/>
      <c r="O136" s="737"/>
      <c r="P136" s="737"/>
      <c r="Q136" s="737"/>
    </row>
    <row r="137" spans="1:19" s="442" customFormat="1" ht="21" customHeight="1">
      <c r="A137" s="1091" t="s">
        <v>35</v>
      </c>
      <c r="B137" s="1091" t="s">
        <v>239</v>
      </c>
      <c r="C137" s="1091" t="s">
        <v>448</v>
      </c>
      <c r="D137" s="1091" t="s">
        <v>449</v>
      </c>
      <c r="E137" s="1095" t="s">
        <v>450</v>
      </c>
      <c r="F137" s="1096"/>
      <c r="G137" s="1096"/>
      <c r="H137" s="1097"/>
      <c r="I137" s="1091" t="s">
        <v>240</v>
      </c>
      <c r="J137" s="1098" t="s">
        <v>460</v>
      </c>
      <c r="K137" s="1091" t="s">
        <v>454</v>
      </c>
      <c r="L137" s="441"/>
      <c r="M137" s="441"/>
      <c r="N137" s="1091" t="s">
        <v>239</v>
      </c>
      <c r="O137" s="1091" t="s">
        <v>455</v>
      </c>
      <c r="P137" s="1091" t="s">
        <v>198</v>
      </c>
      <c r="Q137" s="1091" t="s">
        <v>241</v>
      </c>
      <c r="R137" s="1091" t="s">
        <v>242</v>
      </c>
    </row>
    <row r="138" spans="1:19" s="442" customFormat="1" ht="21" customHeight="1">
      <c r="A138" s="1091"/>
      <c r="B138" s="1091"/>
      <c r="C138" s="1091"/>
      <c r="D138" s="1091"/>
      <c r="E138" s="789" t="s">
        <v>451</v>
      </c>
      <c r="F138" s="789" t="s">
        <v>452</v>
      </c>
      <c r="G138" s="789" t="s">
        <v>453</v>
      </c>
      <c r="H138" s="440" t="s">
        <v>458</v>
      </c>
      <c r="I138" s="1091"/>
      <c r="J138" s="1099"/>
      <c r="K138" s="1091"/>
      <c r="L138" s="441"/>
      <c r="M138" s="441"/>
      <c r="N138" s="1091"/>
      <c r="O138" s="1091"/>
      <c r="P138" s="1091"/>
      <c r="Q138" s="1091"/>
      <c r="R138" s="1091"/>
    </row>
    <row r="139" spans="1:19" ht="16.5" customHeight="1">
      <c r="A139" s="793" t="str">
        <f>IF(B139&lt;&gt;"",ROW()-171,"")</f>
        <v/>
      </c>
      <c r="B139" s="827"/>
      <c r="C139" s="757"/>
      <c r="D139" s="758"/>
      <c r="E139" s="841"/>
      <c r="F139" s="841"/>
      <c r="G139" s="841"/>
      <c r="H139" s="833">
        <f t="shared" ref="H139:H202" si="16">ROUND(((E139+F139)*2*0.01+1.2)*((F139+G139)*0.01+0.3),2)</f>
        <v>0.36</v>
      </c>
      <c r="I139" s="772"/>
      <c r="J139" s="742">
        <f t="shared" ref="J139" si="17">H139*I139</f>
        <v>0</v>
      </c>
      <c r="K139" s="742" t="e">
        <f t="shared" ref="K139:K202" si="18">H139*$R$207</f>
        <v>#DIV/0!</v>
      </c>
      <c r="L139" s="658"/>
      <c r="M139" s="658"/>
      <c r="N139" s="296"/>
      <c r="O139" s="759"/>
      <c r="P139" s="304"/>
      <c r="Q139" s="777"/>
      <c r="R139" s="8">
        <f t="shared" ref="R139:R189" si="19">ROUND(P139*Q139,0)</f>
        <v>0</v>
      </c>
    </row>
    <row r="140" spans="1:19" ht="16.5" customHeight="1">
      <c r="A140" s="773" t="str">
        <f t="shared" ref="A140:A203" si="20">IF(B140&lt;&gt;"",ROW()-171,"")</f>
        <v/>
      </c>
      <c r="B140" s="296"/>
      <c r="C140" s="757"/>
      <c r="D140" s="758"/>
      <c r="E140" s="842"/>
      <c r="F140" s="843"/>
      <c r="G140" s="843"/>
      <c r="H140" s="833">
        <f t="shared" si="16"/>
        <v>0.36</v>
      </c>
      <c r="I140" s="256"/>
      <c r="J140" s="742">
        <f t="shared" ref="J140:J203" si="21">H140*I140</f>
        <v>0</v>
      </c>
      <c r="K140" s="742" t="e">
        <f t="shared" si="18"/>
        <v>#DIV/0!</v>
      </c>
      <c r="L140" s="658"/>
      <c r="M140" s="658"/>
      <c r="N140" s="296"/>
      <c r="O140" s="190"/>
      <c r="P140" s="790"/>
      <c r="Q140" s="776"/>
      <c r="R140" s="8">
        <f t="shared" si="19"/>
        <v>0</v>
      </c>
    </row>
    <row r="141" spans="1:19" ht="16.5" customHeight="1">
      <c r="A141" s="773" t="str">
        <f t="shared" si="20"/>
        <v/>
      </c>
      <c r="B141" s="296"/>
      <c r="C141" s="757"/>
      <c r="D141" s="758"/>
      <c r="E141" s="842"/>
      <c r="F141" s="843"/>
      <c r="G141" s="843"/>
      <c r="H141" s="833">
        <f t="shared" si="16"/>
        <v>0.36</v>
      </c>
      <c r="I141" s="256"/>
      <c r="J141" s="742">
        <f t="shared" si="21"/>
        <v>0</v>
      </c>
      <c r="K141" s="742" t="e">
        <f t="shared" si="18"/>
        <v>#DIV/0!</v>
      </c>
      <c r="L141" s="658"/>
      <c r="M141" s="658"/>
      <c r="N141" s="296"/>
      <c r="O141" s="190"/>
      <c r="P141" s="790"/>
      <c r="Q141" s="776"/>
      <c r="R141" s="8">
        <f t="shared" si="19"/>
        <v>0</v>
      </c>
    </row>
    <row r="142" spans="1:19" ht="16.5" customHeight="1">
      <c r="A142" s="773" t="str">
        <f t="shared" si="20"/>
        <v/>
      </c>
      <c r="B142" s="296"/>
      <c r="C142" s="757"/>
      <c r="D142" s="758"/>
      <c r="E142" s="842"/>
      <c r="F142" s="843"/>
      <c r="G142" s="843"/>
      <c r="H142" s="833">
        <f t="shared" si="16"/>
        <v>0.36</v>
      </c>
      <c r="I142" s="256"/>
      <c r="J142" s="742">
        <f t="shared" si="21"/>
        <v>0</v>
      </c>
      <c r="K142" s="742" t="e">
        <f t="shared" si="18"/>
        <v>#DIV/0!</v>
      </c>
      <c r="L142" s="658"/>
      <c r="M142" s="658"/>
      <c r="N142" s="191"/>
      <c r="O142" s="190"/>
      <c r="P142" s="790"/>
      <c r="Q142" s="776"/>
      <c r="R142" s="8">
        <f t="shared" si="19"/>
        <v>0</v>
      </c>
    </row>
    <row r="143" spans="1:19" ht="16.5" customHeight="1">
      <c r="A143" s="773" t="str">
        <f t="shared" si="20"/>
        <v/>
      </c>
      <c r="B143" s="296"/>
      <c r="C143" s="757"/>
      <c r="D143" s="758"/>
      <c r="E143" s="842"/>
      <c r="F143" s="843"/>
      <c r="G143" s="843"/>
      <c r="H143" s="833">
        <f t="shared" si="16"/>
        <v>0.36</v>
      </c>
      <c r="I143" s="256"/>
      <c r="J143" s="742">
        <f t="shared" si="21"/>
        <v>0</v>
      </c>
      <c r="K143" s="742" t="e">
        <f t="shared" si="18"/>
        <v>#DIV/0!</v>
      </c>
      <c r="L143" s="658"/>
      <c r="M143" s="658"/>
      <c r="N143" s="191"/>
      <c r="O143" s="190"/>
      <c r="P143" s="790"/>
      <c r="Q143" s="776"/>
      <c r="R143" s="8">
        <f t="shared" si="19"/>
        <v>0</v>
      </c>
    </row>
    <row r="144" spans="1:19" ht="16.5" customHeight="1">
      <c r="A144" s="773" t="str">
        <f t="shared" si="20"/>
        <v/>
      </c>
      <c r="B144" s="296"/>
      <c r="C144" s="757"/>
      <c r="D144" s="758"/>
      <c r="E144" s="842"/>
      <c r="F144" s="843"/>
      <c r="G144" s="843"/>
      <c r="H144" s="833">
        <f t="shared" si="16"/>
        <v>0.36</v>
      </c>
      <c r="I144" s="256"/>
      <c r="J144" s="742">
        <f t="shared" si="21"/>
        <v>0</v>
      </c>
      <c r="K144" s="742" t="e">
        <f t="shared" si="18"/>
        <v>#DIV/0!</v>
      </c>
      <c r="L144" s="658"/>
      <c r="M144" s="658"/>
      <c r="N144" s="296"/>
      <c r="O144" s="190"/>
      <c r="P144" s="790"/>
      <c r="Q144" s="776"/>
      <c r="R144" s="8">
        <f t="shared" si="19"/>
        <v>0</v>
      </c>
    </row>
    <row r="145" spans="1:18" ht="16.5" customHeight="1">
      <c r="A145" s="773" t="str">
        <f t="shared" si="20"/>
        <v/>
      </c>
      <c r="B145" s="296"/>
      <c r="C145" s="757"/>
      <c r="D145" s="758"/>
      <c r="E145" s="842"/>
      <c r="F145" s="843"/>
      <c r="G145" s="843"/>
      <c r="H145" s="833">
        <f t="shared" si="16"/>
        <v>0.36</v>
      </c>
      <c r="I145" s="256"/>
      <c r="J145" s="742">
        <f t="shared" si="21"/>
        <v>0</v>
      </c>
      <c r="K145" s="742" t="e">
        <f t="shared" si="18"/>
        <v>#DIV/0!</v>
      </c>
      <c r="L145" s="658"/>
      <c r="M145" s="658"/>
      <c r="N145" s="296"/>
      <c r="O145" s="190"/>
      <c r="P145" s="790"/>
      <c r="Q145" s="776"/>
      <c r="R145" s="8">
        <f t="shared" si="19"/>
        <v>0</v>
      </c>
    </row>
    <row r="146" spans="1:18" ht="16.5" customHeight="1">
      <c r="A146" s="773" t="str">
        <f t="shared" si="20"/>
        <v/>
      </c>
      <c r="B146" s="296"/>
      <c r="C146" s="757"/>
      <c r="D146" s="758"/>
      <c r="E146" s="842"/>
      <c r="F146" s="843"/>
      <c r="G146" s="843"/>
      <c r="H146" s="833">
        <f t="shared" si="16"/>
        <v>0.36</v>
      </c>
      <c r="I146" s="256"/>
      <c r="J146" s="742">
        <f t="shared" si="21"/>
        <v>0</v>
      </c>
      <c r="K146" s="742" t="e">
        <f t="shared" si="18"/>
        <v>#DIV/0!</v>
      </c>
      <c r="L146" s="658"/>
      <c r="M146" s="658"/>
      <c r="N146" s="296"/>
      <c r="O146" s="190"/>
      <c r="P146" s="790"/>
      <c r="Q146" s="776"/>
      <c r="R146" s="8">
        <f t="shared" si="19"/>
        <v>0</v>
      </c>
    </row>
    <row r="147" spans="1:18" ht="16.5" customHeight="1">
      <c r="A147" s="773" t="str">
        <f t="shared" si="20"/>
        <v/>
      </c>
      <c r="B147" s="296"/>
      <c r="C147" s="757"/>
      <c r="D147" s="758"/>
      <c r="E147" s="842"/>
      <c r="F147" s="843"/>
      <c r="G147" s="843"/>
      <c r="H147" s="833">
        <f t="shared" si="16"/>
        <v>0.36</v>
      </c>
      <c r="I147" s="256"/>
      <c r="J147" s="742">
        <f t="shared" si="21"/>
        <v>0</v>
      </c>
      <c r="K147" s="742" t="e">
        <f t="shared" si="18"/>
        <v>#DIV/0!</v>
      </c>
      <c r="L147" s="658"/>
      <c r="M147" s="658"/>
      <c r="N147" s="191"/>
      <c r="O147" s="190"/>
      <c r="P147" s="790"/>
      <c r="Q147" s="776"/>
      <c r="R147" s="8">
        <f t="shared" si="19"/>
        <v>0</v>
      </c>
    </row>
    <row r="148" spans="1:18" ht="16.5" customHeight="1">
      <c r="A148" s="773" t="str">
        <f t="shared" si="20"/>
        <v/>
      </c>
      <c r="B148" s="296"/>
      <c r="C148" s="757"/>
      <c r="D148" s="758"/>
      <c r="E148" s="842"/>
      <c r="F148" s="843"/>
      <c r="G148" s="843"/>
      <c r="H148" s="833">
        <f t="shared" si="16"/>
        <v>0.36</v>
      </c>
      <c r="I148" s="256"/>
      <c r="J148" s="742">
        <f t="shared" si="21"/>
        <v>0</v>
      </c>
      <c r="K148" s="742" t="e">
        <f t="shared" si="18"/>
        <v>#DIV/0!</v>
      </c>
      <c r="L148" s="658"/>
      <c r="M148" s="658"/>
      <c r="N148" s="296"/>
      <c r="O148" s="190"/>
      <c r="P148" s="790"/>
      <c r="Q148" s="776"/>
      <c r="R148" s="8">
        <f t="shared" si="19"/>
        <v>0</v>
      </c>
    </row>
    <row r="149" spans="1:18" ht="16.5" customHeight="1">
      <c r="A149" s="773" t="str">
        <f t="shared" si="20"/>
        <v/>
      </c>
      <c r="B149" s="296"/>
      <c r="C149" s="757"/>
      <c r="D149" s="758"/>
      <c r="E149" s="842"/>
      <c r="F149" s="843"/>
      <c r="G149" s="843"/>
      <c r="H149" s="833">
        <f t="shared" si="16"/>
        <v>0.36</v>
      </c>
      <c r="I149" s="256"/>
      <c r="J149" s="742">
        <f t="shared" si="21"/>
        <v>0</v>
      </c>
      <c r="K149" s="742" t="e">
        <f t="shared" si="18"/>
        <v>#DIV/0!</v>
      </c>
      <c r="L149" s="658"/>
      <c r="M149" s="658"/>
      <c r="N149" s="191"/>
      <c r="O149" s="190"/>
      <c r="P149" s="790"/>
      <c r="Q149" s="776"/>
      <c r="R149" s="8">
        <f t="shared" si="19"/>
        <v>0</v>
      </c>
    </row>
    <row r="150" spans="1:18" ht="16.5" customHeight="1">
      <c r="A150" s="773" t="str">
        <f t="shared" si="20"/>
        <v/>
      </c>
      <c r="B150" s="296"/>
      <c r="C150" s="757"/>
      <c r="D150" s="758"/>
      <c r="E150" s="842"/>
      <c r="F150" s="843"/>
      <c r="G150" s="843"/>
      <c r="H150" s="833">
        <f t="shared" si="16"/>
        <v>0.36</v>
      </c>
      <c r="I150" s="256"/>
      <c r="J150" s="742">
        <f t="shared" si="21"/>
        <v>0</v>
      </c>
      <c r="K150" s="742" t="e">
        <f t="shared" si="18"/>
        <v>#DIV/0!</v>
      </c>
      <c r="L150" s="658"/>
      <c r="M150" s="658"/>
      <c r="N150" s="191"/>
      <c r="O150" s="190"/>
      <c r="P150" s="790"/>
      <c r="Q150" s="776"/>
      <c r="R150" s="8">
        <f t="shared" si="19"/>
        <v>0</v>
      </c>
    </row>
    <row r="151" spans="1:18" ht="16.5" customHeight="1">
      <c r="A151" s="773" t="str">
        <f t="shared" si="20"/>
        <v/>
      </c>
      <c r="B151" s="296"/>
      <c r="C151" s="757"/>
      <c r="D151" s="758"/>
      <c r="E151" s="842"/>
      <c r="F151" s="843"/>
      <c r="G151" s="843"/>
      <c r="H151" s="833">
        <f t="shared" si="16"/>
        <v>0.36</v>
      </c>
      <c r="I151" s="256"/>
      <c r="J151" s="742">
        <f t="shared" si="21"/>
        <v>0</v>
      </c>
      <c r="K151" s="742" t="e">
        <f t="shared" si="18"/>
        <v>#DIV/0!</v>
      </c>
      <c r="L151" s="658"/>
      <c r="M151" s="658"/>
      <c r="N151" s="296"/>
      <c r="O151" s="759"/>
      <c r="P151" s="790"/>
      <c r="Q151" s="776"/>
      <c r="R151" s="8">
        <f t="shared" si="19"/>
        <v>0</v>
      </c>
    </row>
    <row r="152" spans="1:18" ht="16.5" customHeight="1">
      <c r="A152" s="773" t="str">
        <f t="shared" si="20"/>
        <v/>
      </c>
      <c r="B152" s="296"/>
      <c r="C152" s="757"/>
      <c r="D152" s="758"/>
      <c r="E152" s="842"/>
      <c r="F152" s="843"/>
      <c r="G152" s="843"/>
      <c r="H152" s="833">
        <f t="shared" si="16"/>
        <v>0.36</v>
      </c>
      <c r="I152" s="256"/>
      <c r="J152" s="742">
        <f t="shared" si="21"/>
        <v>0</v>
      </c>
      <c r="K152" s="742" t="e">
        <f t="shared" si="18"/>
        <v>#DIV/0!</v>
      </c>
      <c r="L152" s="658"/>
      <c r="M152" s="658"/>
      <c r="N152" s="296"/>
      <c r="O152" s="759"/>
      <c r="P152" s="790"/>
      <c r="Q152" s="776"/>
      <c r="R152" s="8">
        <f t="shared" si="19"/>
        <v>0</v>
      </c>
    </row>
    <row r="153" spans="1:18" ht="16.5" customHeight="1">
      <c r="A153" s="773" t="str">
        <f t="shared" si="20"/>
        <v/>
      </c>
      <c r="B153" s="296"/>
      <c r="C153" s="757"/>
      <c r="D153" s="758"/>
      <c r="E153" s="842"/>
      <c r="F153" s="843"/>
      <c r="G153" s="843"/>
      <c r="H153" s="833">
        <f t="shared" si="16"/>
        <v>0.36</v>
      </c>
      <c r="I153" s="256"/>
      <c r="J153" s="742">
        <f t="shared" si="21"/>
        <v>0</v>
      </c>
      <c r="K153" s="742" t="e">
        <f t="shared" si="18"/>
        <v>#DIV/0!</v>
      </c>
      <c r="L153" s="658"/>
      <c r="M153" s="658"/>
      <c r="N153" s="191"/>
      <c r="O153" s="759"/>
      <c r="P153" s="790"/>
      <c r="Q153" s="776"/>
      <c r="R153" s="8">
        <f t="shared" si="19"/>
        <v>0</v>
      </c>
    </row>
    <row r="154" spans="1:18" ht="16.5" customHeight="1">
      <c r="A154" s="773" t="str">
        <f t="shared" si="20"/>
        <v/>
      </c>
      <c r="B154" s="296"/>
      <c r="C154" s="757"/>
      <c r="D154" s="758"/>
      <c r="E154" s="842"/>
      <c r="F154" s="792"/>
      <c r="G154" s="792"/>
      <c r="H154" s="833">
        <f t="shared" si="16"/>
        <v>0.36</v>
      </c>
      <c r="I154" s="256"/>
      <c r="J154" s="742">
        <f t="shared" si="21"/>
        <v>0</v>
      </c>
      <c r="K154" s="742" t="e">
        <f t="shared" si="18"/>
        <v>#DIV/0!</v>
      </c>
      <c r="L154" s="658"/>
      <c r="M154" s="658"/>
      <c r="N154" s="296"/>
      <c r="O154" s="759"/>
      <c r="P154" s="790"/>
      <c r="Q154" s="776"/>
      <c r="R154" s="8">
        <f t="shared" si="19"/>
        <v>0</v>
      </c>
    </row>
    <row r="155" spans="1:18" ht="16.5" customHeight="1">
      <c r="A155" s="773" t="str">
        <f t="shared" si="20"/>
        <v/>
      </c>
      <c r="B155" s="296"/>
      <c r="C155" s="757"/>
      <c r="D155" s="758"/>
      <c r="E155" s="842"/>
      <c r="F155" s="843"/>
      <c r="G155" s="843"/>
      <c r="H155" s="833">
        <f t="shared" si="16"/>
        <v>0.36</v>
      </c>
      <c r="I155" s="256"/>
      <c r="J155" s="742">
        <f t="shared" si="21"/>
        <v>0</v>
      </c>
      <c r="K155" s="742" t="e">
        <f t="shared" si="18"/>
        <v>#DIV/0!</v>
      </c>
      <c r="L155" s="658"/>
      <c r="M155" s="658"/>
      <c r="N155" s="296"/>
      <c r="O155" s="759"/>
      <c r="P155" s="790"/>
      <c r="Q155" s="776"/>
      <c r="R155" s="8">
        <f t="shared" si="19"/>
        <v>0</v>
      </c>
    </row>
    <row r="156" spans="1:18" ht="16.5" customHeight="1">
      <c r="A156" s="773" t="str">
        <f t="shared" si="20"/>
        <v/>
      </c>
      <c r="B156" s="296"/>
      <c r="C156" s="757"/>
      <c r="D156" s="758"/>
      <c r="E156" s="842"/>
      <c r="F156" s="843"/>
      <c r="G156" s="843"/>
      <c r="H156" s="833">
        <f t="shared" si="16"/>
        <v>0.36</v>
      </c>
      <c r="I156" s="256"/>
      <c r="J156" s="742">
        <f t="shared" si="21"/>
        <v>0</v>
      </c>
      <c r="K156" s="742" t="e">
        <f t="shared" si="18"/>
        <v>#DIV/0!</v>
      </c>
      <c r="L156" s="658"/>
      <c r="M156" s="658"/>
      <c r="N156" s="191"/>
      <c r="O156" s="759"/>
      <c r="P156" s="790"/>
      <c r="Q156" s="776"/>
      <c r="R156" s="8">
        <f t="shared" si="19"/>
        <v>0</v>
      </c>
    </row>
    <row r="157" spans="1:18" ht="16.5" customHeight="1">
      <c r="A157" s="773" t="str">
        <f t="shared" si="20"/>
        <v/>
      </c>
      <c r="B157" s="296"/>
      <c r="C157" s="757"/>
      <c r="D157" s="758"/>
      <c r="E157" s="842"/>
      <c r="F157" s="843"/>
      <c r="G157" s="843"/>
      <c r="H157" s="833">
        <f t="shared" si="16"/>
        <v>0.36</v>
      </c>
      <c r="I157" s="256"/>
      <c r="J157" s="742">
        <f t="shared" si="21"/>
        <v>0</v>
      </c>
      <c r="K157" s="742" t="e">
        <f t="shared" si="18"/>
        <v>#DIV/0!</v>
      </c>
      <c r="L157" s="658"/>
      <c r="M157" s="658"/>
      <c r="N157" s="191"/>
      <c r="O157" s="759"/>
      <c r="P157" s="790"/>
      <c r="Q157" s="776"/>
      <c r="R157" s="8">
        <f t="shared" si="19"/>
        <v>0</v>
      </c>
    </row>
    <row r="158" spans="1:18" ht="16.5" customHeight="1">
      <c r="A158" s="773" t="str">
        <f t="shared" si="20"/>
        <v/>
      </c>
      <c r="B158" s="296"/>
      <c r="C158" s="757"/>
      <c r="D158" s="758"/>
      <c r="E158" s="842"/>
      <c r="F158" s="843"/>
      <c r="G158" s="843"/>
      <c r="H158" s="833">
        <f t="shared" si="16"/>
        <v>0.36</v>
      </c>
      <c r="I158" s="256"/>
      <c r="J158" s="742">
        <f t="shared" si="21"/>
        <v>0</v>
      </c>
      <c r="K158" s="742" t="e">
        <f t="shared" si="18"/>
        <v>#DIV/0!</v>
      </c>
      <c r="L158" s="658"/>
      <c r="M158" s="658"/>
      <c r="N158" s="296"/>
      <c r="O158" s="759"/>
      <c r="P158" s="790"/>
      <c r="Q158" s="776"/>
      <c r="R158" s="8">
        <f t="shared" si="19"/>
        <v>0</v>
      </c>
    </row>
    <row r="159" spans="1:18" ht="16.5" customHeight="1">
      <c r="A159" s="773" t="str">
        <f t="shared" si="20"/>
        <v/>
      </c>
      <c r="B159" s="296"/>
      <c r="C159" s="757"/>
      <c r="D159" s="758"/>
      <c r="E159" s="842"/>
      <c r="F159" s="843"/>
      <c r="G159" s="843"/>
      <c r="H159" s="833">
        <f t="shared" si="16"/>
        <v>0.36</v>
      </c>
      <c r="I159" s="256"/>
      <c r="J159" s="742">
        <f t="shared" si="21"/>
        <v>0</v>
      </c>
      <c r="K159" s="742" t="e">
        <f t="shared" si="18"/>
        <v>#DIV/0!</v>
      </c>
      <c r="L159" s="658"/>
      <c r="M159" s="658"/>
      <c r="N159" s="296"/>
      <c r="O159" s="757"/>
      <c r="P159" s="790"/>
      <c r="Q159" s="776"/>
      <c r="R159" s="8">
        <f t="shared" si="19"/>
        <v>0</v>
      </c>
    </row>
    <row r="160" spans="1:18" ht="16.5" customHeight="1">
      <c r="A160" s="773" t="str">
        <f t="shared" si="20"/>
        <v/>
      </c>
      <c r="B160" s="296"/>
      <c r="C160" s="757"/>
      <c r="D160" s="758"/>
      <c r="E160" s="842"/>
      <c r="F160" s="843"/>
      <c r="G160" s="843"/>
      <c r="H160" s="833">
        <f t="shared" si="16"/>
        <v>0.36</v>
      </c>
      <c r="I160" s="256"/>
      <c r="J160" s="742">
        <f t="shared" si="21"/>
        <v>0</v>
      </c>
      <c r="K160" s="742" t="e">
        <f t="shared" si="18"/>
        <v>#DIV/0!</v>
      </c>
      <c r="L160" s="658"/>
      <c r="M160" s="658"/>
      <c r="N160" s="296"/>
      <c r="O160" s="757"/>
      <c r="P160" s="790"/>
      <c r="Q160" s="776"/>
      <c r="R160" s="8">
        <f t="shared" si="19"/>
        <v>0</v>
      </c>
    </row>
    <row r="161" spans="1:18" ht="16.5" customHeight="1">
      <c r="A161" s="773" t="str">
        <f t="shared" si="20"/>
        <v/>
      </c>
      <c r="B161" s="296"/>
      <c r="C161" s="757"/>
      <c r="D161" s="758"/>
      <c r="E161" s="842"/>
      <c r="F161" s="843"/>
      <c r="G161" s="843"/>
      <c r="H161" s="833">
        <f t="shared" si="16"/>
        <v>0.36</v>
      </c>
      <c r="I161" s="256"/>
      <c r="J161" s="742">
        <f t="shared" si="21"/>
        <v>0</v>
      </c>
      <c r="K161" s="742" t="e">
        <f t="shared" si="18"/>
        <v>#DIV/0!</v>
      </c>
      <c r="L161" s="658"/>
      <c r="M161" s="658"/>
      <c r="N161" s="296"/>
      <c r="O161" s="759"/>
      <c r="P161" s="790"/>
      <c r="Q161" s="776"/>
      <c r="R161" s="8">
        <f t="shared" si="19"/>
        <v>0</v>
      </c>
    </row>
    <row r="162" spans="1:18" ht="16.5" customHeight="1">
      <c r="A162" s="773" t="str">
        <f t="shared" si="20"/>
        <v/>
      </c>
      <c r="B162" s="296"/>
      <c r="C162" s="757"/>
      <c r="D162" s="758"/>
      <c r="E162" s="842"/>
      <c r="F162" s="843"/>
      <c r="G162" s="843"/>
      <c r="H162" s="833">
        <f t="shared" si="16"/>
        <v>0.36</v>
      </c>
      <c r="I162" s="256"/>
      <c r="J162" s="742">
        <f t="shared" si="21"/>
        <v>0</v>
      </c>
      <c r="K162" s="742" t="e">
        <f t="shared" si="18"/>
        <v>#DIV/0!</v>
      </c>
      <c r="L162" s="658"/>
      <c r="M162" s="658"/>
      <c r="N162" s="296"/>
      <c r="O162" s="759"/>
      <c r="P162" s="790"/>
      <c r="Q162" s="776"/>
      <c r="R162" s="8">
        <f t="shared" si="19"/>
        <v>0</v>
      </c>
    </row>
    <row r="163" spans="1:18" ht="16.5" customHeight="1">
      <c r="A163" s="773" t="str">
        <f t="shared" si="20"/>
        <v/>
      </c>
      <c r="B163" s="296"/>
      <c r="C163" s="757"/>
      <c r="D163" s="758"/>
      <c r="E163" s="842"/>
      <c r="F163" s="843"/>
      <c r="G163" s="843"/>
      <c r="H163" s="833">
        <f t="shared" si="16"/>
        <v>0.36</v>
      </c>
      <c r="I163" s="256"/>
      <c r="J163" s="742">
        <f t="shared" si="21"/>
        <v>0</v>
      </c>
      <c r="K163" s="742" t="e">
        <f t="shared" si="18"/>
        <v>#DIV/0!</v>
      </c>
      <c r="L163" s="658"/>
      <c r="M163" s="658"/>
      <c r="N163" s="191"/>
      <c r="O163" s="759"/>
      <c r="P163" s="790"/>
      <c r="Q163" s="776"/>
      <c r="R163" s="8">
        <f t="shared" si="19"/>
        <v>0</v>
      </c>
    </row>
    <row r="164" spans="1:18" ht="16.5" customHeight="1">
      <c r="A164" s="773" t="str">
        <f t="shared" si="20"/>
        <v/>
      </c>
      <c r="B164" s="296"/>
      <c r="C164" s="757"/>
      <c r="D164" s="758"/>
      <c r="E164" s="842"/>
      <c r="F164" s="843"/>
      <c r="G164" s="843"/>
      <c r="H164" s="833">
        <f t="shared" si="16"/>
        <v>0.36</v>
      </c>
      <c r="I164" s="256"/>
      <c r="J164" s="742">
        <f t="shared" si="21"/>
        <v>0</v>
      </c>
      <c r="K164" s="742" t="e">
        <f t="shared" si="18"/>
        <v>#DIV/0!</v>
      </c>
      <c r="L164" s="658"/>
      <c r="M164" s="658"/>
      <c r="N164" s="191"/>
      <c r="O164" s="759"/>
      <c r="P164" s="790"/>
      <c r="Q164" s="776"/>
      <c r="R164" s="8">
        <f t="shared" si="19"/>
        <v>0</v>
      </c>
    </row>
    <row r="165" spans="1:18" ht="16.5" customHeight="1">
      <c r="A165" s="773" t="str">
        <f t="shared" si="20"/>
        <v/>
      </c>
      <c r="B165" s="296"/>
      <c r="C165" s="757"/>
      <c r="D165" s="758"/>
      <c r="E165" s="842"/>
      <c r="F165" s="843"/>
      <c r="G165" s="843"/>
      <c r="H165" s="833">
        <f t="shared" si="16"/>
        <v>0.36</v>
      </c>
      <c r="I165" s="256"/>
      <c r="J165" s="742">
        <f t="shared" si="21"/>
        <v>0</v>
      </c>
      <c r="K165" s="742" t="e">
        <f t="shared" si="18"/>
        <v>#DIV/0!</v>
      </c>
      <c r="L165" s="658"/>
      <c r="M165" s="658"/>
      <c r="N165" s="191"/>
      <c r="O165" s="759"/>
      <c r="P165" s="790"/>
      <c r="Q165" s="776"/>
      <c r="R165" s="8">
        <f t="shared" si="19"/>
        <v>0</v>
      </c>
    </row>
    <row r="166" spans="1:18" ht="16.5" customHeight="1">
      <c r="A166" s="773" t="str">
        <f t="shared" si="20"/>
        <v/>
      </c>
      <c r="B166" s="296"/>
      <c r="C166" s="757"/>
      <c r="D166" s="758"/>
      <c r="E166" s="842"/>
      <c r="F166" s="843"/>
      <c r="G166" s="843"/>
      <c r="H166" s="833">
        <f t="shared" si="16"/>
        <v>0.36</v>
      </c>
      <c r="I166" s="256"/>
      <c r="J166" s="742">
        <f t="shared" si="21"/>
        <v>0</v>
      </c>
      <c r="K166" s="742" t="e">
        <f t="shared" si="18"/>
        <v>#DIV/0!</v>
      </c>
      <c r="L166" s="658"/>
      <c r="M166" s="658"/>
      <c r="N166" s="296"/>
      <c r="O166" s="759"/>
      <c r="P166" s="790"/>
      <c r="Q166" s="776"/>
      <c r="R166" s="8">
        <f t="shared" si="19"/>
        <v>0</v>
      </c>
    </row>
    <row r="167" spans="1:18" ht="16.5" customHeight="1">
      <c r="A167" s="773" t="str">
        <f t="shared" si="20"/>
        <v/>
      </c>
      <c r="B167" s="296"/>
      <c r="C167" s="757"/>
      <c r="D167" s="758"/>
      <c r="E167" s="842"/>
      <c r="F167" s="843"/>
      <c r="G167" s="843"/>
      <c r="H167" s="833">
        <f t="shared" si="16"/>
        <v>0.36</v>
      </c>
      <c r="I167" s="256"/>
      <c r="J167" s="742">
        <f t="shared" si="21"/>
        <v>0</v>
      </c>
      <c r="K167" s="742" t="e">
        <f t="shared" si="18"/>
        <v>#DIV/0!</v>
      </c>
      <c r="L167" s="658"/>
      <c r="M167" s="658"/>
      <c r="N167" s="191"/>
      <c r="O167" s="759"/>
      <c r="P167" s="790"/>
      <c r="Q167" s="776"/>
      <c r="R167" s="8">
        <f t="shared" si="19"/>
        <v>0</v>
      </c>
    </row>
    <row r="168" spans="1:18" ht="16.5" customHeight="1">
      <c r="A168" s="773" t="str">
        <f t="shared" si="20"/>
        <v/>
      </c>
      <c r="B168" s="296"/>
      <c r="C168" s="757"/>
      <c r="D168" s="758"/>
      <c r="E168" s="842"/>
      <c r="F168" s="843"/>
      <c r="G168" s="843"/>
      <c r="H168" s="833">
        <f t="shared" si="16"/>
        <v>0.36</v>
      </c>
      <c r="I168" s="256"/>
      <c r="J168" s="742">
        <f t="shared" si="21"/>
        <v>0</v>
      </c>
      <c r="K168" s="742" t="e">
        <f t="shared" si="18"/>
        <v>#DIV/0!</v>
      </c>
      <c r="L168" s="658"/>
      <c r="M168" s="658"/>
      <c r="N168" s="191"/>
      <c r="O168" s="759"/>
      <c r="P168" s="790"/>
      <c r="Q168" s="776"/>
      <c r="R168" s="8">
        <f t="shared" si="19"/>
        <v>0</v>
      </c>
    </row>
    <row r="169" spans="1:18" ht="16.5" customHeight="1">
      <c r="A169" s="773" t="str">
        <f t="shared" si="20"/>
        <v/>
      </c>
      <c r="B169" s="296"/>
      <c r="C169" s="757"/>
      <c r="D169" s="758"/>
      <c r="E169" s="842"/>
      <c r="F169" s="843"/>
      <c r="G169" s="843"/>
      <c r="H169" s="833">
        <f t="shared" si="16"/>
        <v>0.36</v>
      </c>
      <c r="I169" s="256"/>
      <c r="J169" s="742">
        <f t="shared" si="21"/>
        <v>0</v>
      </c>
      <c r="K169" s="742" t="e">
        <f t="shared" si="18"/>
        <v>#DIV/0!</v>
      </c>
      <c r="L169" s="658"/>
      <c r="M169" s="658"/>
      <c r="N169" s="296"/>
      <c r="O169" s="759"/>
      <c r="P169" s="790"/>
      <c r="Q169" s="776"/>
      <c r="R169" s="8">
        <f t="shared" si="19"/>
        <v>0</v>
      </c>
    </row>
    <row r="170" spans="1:18" ht="16.5" customHeight="1">
      <c r="A170" s="773" t="str">
        <f t="shared" si="20"/>
        <v/>
      </c>
      <c r="B170" s="296"/>
      <c r="C170" s="757"/>
      <c r="D170" s="758"/>
      <c r="E170" s="842"/>
      <c r="F170" s="792"/>
      <c r="G170" s="792"/>
      <c r="H170" s="833">
        <f t="shared" si="16"/>
        <v>0.36</v>
      </c>
      <c r="I170" s="256"/>
      <c r="J170" s="742">
        <f t="shared" si="21"/>
        <v>0</v>
      </c>
      <c r="K170" s="742" t="e">
        <f t="shared" si="18"/>
        <v>#DIV/0!</v>
      </c>
      <c r="L170" s="748"/>
      <c r="M170" s="658"/>
      <c r="N170" s="296"/>
      <c r="O170" s="759"/>
      <c r="P170" s="790"/>
      <c r="Q170" s="776"/>
      <c r="R170" s="8">
        <f t="shared" si="19"/>
        <v>0</v>
      </c>
    </row>
    <row r="171" spans="1:18" ht="16.5" customHeight="1">
      <c r="A171" s="773" t="str">
        <f t="shared" si="20"/>
        <v/>
      </c>
      <c r="B171" s="296"/>
      <c r="C171" s="757"/>
      <c r="D171" s="758"/>
      <c r="E171" s="842"/>
      <c r="F171" s="843"/>
      <c r="G171" s="843"/>
      <c r="H171" s="833">
        <f t="shared" si="16"/>
        <v>0.36</v>
      </c>
      <c r="I171" s="256"/>
      <c r="J171" s="742">
        <f t="shared" si="21"/>
        <v>0</v>
      </c>
      <c r="K171" s="742" t="e">
        <f t="shared" si="18"/>
        <v>#DIV/0!</v>
      </c>
      <c r="L171" s="658"/>
      <c r="M171" s="658"/>
      <c r="N171" s="296"/>
      <c r="O171" s="759"/>
      <c r="P171" s="790"/>
      <c r="Q171" s="776"/>
      <c r="R171" s="8">
        <f t="shared" si="19"/>
        <v>0</v>
      </c>
    </row>
    <row r="172" spans="1:18" ht="16.5" customHeight="1">
      <c r="A172" s="773" t="str">
        <f t="shared" si="20"/>
        <v/>
      </c>
      <c r="B172" s="296"/>
      <c r="C172" s="757"/>
      <c r="D172" s="758"/>
      <c r="E172" s="842"/>
      <c r="F172" s="843"/>
      <c r="G172" s="843"/>
      <c r="H172" s="833">
        <f t="shared" si="16"/>
        <v>0.36</v>
      </c>
      <c r="I172" s="256"/>
      <c r="J172" s="742">
        <f t="shared" si="21"/>
        <v>0</v>
      </c>
      <c r="K172" s="742" t="e">
        <f t="shared" si="18"/>
        <v>#DIV/0!</v>
      </c>
      <c r="L172" s="658"/>
      <c r="M172" s="658"/>
      <c r="N172" s="296"/>
      <c r="O172" s="759"/>
      <c r="P172" s="790"/>
      <c r="Q172" s="776"/>
      <c r="R172" s="8">
        <f t="shared" si="19"/>
        <v>0</v>
      </c>
    </row>
    <row r="173" spans="1:18" ht="16.5" customHeight="1">
      <c r="A173" s="773" t="str">
        <f t="shared" si="20"/>
        <v/>
      </c>
      <c r="B173" s="296"/>
      <c r="C173" s="757"/>
      <c r="D173" s="758"/>
      <c r="E173" s="842"/>
      <c r="F173" s="792"/>
      <c r="G173" s="792"/>
      <c r="H173" s="833">
        <f t="shared" si="16"/>
        <v>0.36</v>
      </c>
      <c r="I173" s="256"/>
      <c r="J173" s="742">
        <f t="shared" si="21"/>
        <v>0</v>
      </c>
      <c r="K173" s="742" t="e">
        <f t="shared" si="18"/>
        <v>#DIV/0!</v>
      </c>
      <c r="L173" s="748"/>
      <c r="M173" s="658"/>
      <c r="N173" s="296"/>
      <c r="O173" s="759"/>
      <c r="P173" s="790"/>
      <c r="Q173" s="776"/>
      <c r="R173" s="8">
        <f t="shared" si="19"/>
        <v>0</v>
      </c>
    </row>
    <row r="174" spans="1:18" ht="16.5" customHeight="1">
      <c r="A174" s="773" t="str">
        <f t="shared" si="20"/>
        <v/>
      </c>
      <c r="B174" s="296"/>
      <c r="C174" s="757"/>
      <c r="D174" s="758"/>
      <c r="E174" s="842"/>
      <c r="F174" s="792"/>
      <c r="G174" s="792"/>
      <c r="H174" s="833">
        <f t="shared" si="16"/>
        <v>0.36</v>
      </c>
      <c r="I174" s="256"/>
      <c r="J174" s="742">
        <f t="shared" si="21"/>
        <v>0</v>
      </c>
      <c r="K174" s="742" t="e">
        <f t="shared" si="18"/>
        <v>#DIV/0!</v>
      </c>
      <c r="L174" s="748"/>
      <c r="M174" s="658"/>
      <c r="N174" s="296"/>
      <c r="O174" s="759"/>
      <c r="P174" s="790"/>
      <c r="Q174" s="776"/>
      <c r="R174" s="8">
        <f t="shared" si="19"/>
        <v>0</v>
      </c>
    </row>
    <row r="175" spans="1:18" ht="16.5" customHeight="1">
      <c r="A175" s="773" t="str">
        <f t="shared" si="20"/>
        <v/>
      </c>
      <c r="B175" s="296"/>
      <c r="C175" s="757"/>
      <c r="D175" s="758"/>
      <c r="E175" s="842"/>
      <c r="F175" s="792"/>
      <c r="G175" s="792"/>
      <c r="H175" s="833">
        <f t="shared" si="16"/>
        <v>0.36</v>
      </c>
      <c r="I175" s="256"/>
      <c r="J175" s="742">
        <f t="shared" si="21"/>
        <v>0</v>
      </c>
      <c r="K175" s="742" t="e">
        <f t="shared" si="18"/>
        <v>#DIV/0!</v>
      </c>
      <c r="L175" s="748"/>
      <c r="M175" s="658"/>
      <c r="N175" s="296"/>
      <c r="O175" s="759"/>
      <c r="P175" s="790"/>
      <c r="Q175" s="776"/>
      <c r="R175" s="8">
        <f t="shared" si="19"/>
        <v>0</v>
      </c>
    </row>
    <row r="176" spans="1:18" ht="16.5" customHeight="1">
      <c r="A176" s="773" t="str">
        <f t="shared" si="20"/>
        <v/>
      </c>
      <c r="B176" s="296"/>
      <c r="C176" s="757"/>
      <c r="D176" s="758"/>
      <c r="E176" s="842"/>
      <c r="F176" s="843"/>
      <c r="G176" s="843"/>
      <c r="H176" s="833">
        <f t="shared" si="16"/>
        <v>0.36</v>
      </c>
      <c r="I176" s="256"/>
      <c r="J176" s="742">
        <f t="shared" si="21"/>
        <v>0</v>
      </c>
      <c r="K176" s="742" t="e">
        <f t="shared" si="18"/>
        <v>#DIV/0!</v>
      </c>
      <c r="L176" s="658"/>
      <c r="M176" s="658"/>
      <c r="N176" s="296"/>
      <c r="O176" s="759"/>
      <c r="P176" s="790"/>
      <c r="Q176" s="776"/>
      <c r="R176" s="8">
        <f t="shared" si="19"/>
        <v>0</v>
      </c>
    </row>
    <row r="177" spans="1:18" ht="16.5" customHeight="1">
      <c r="A177" s="773" t="str">
        <f t="shared" si="20"/>
        <v/>
      </c>
      <c r="B177" s="296"/>
      <c r="C177" s="757"/>
      <c r="D177" s="758"/>
      <c r="E177" s="842"/>
      <c r="F177" s="843"/>
      <c r="G177" s="843"/>
      <c r="H177" s="833">
        <f t="shared" si="16"/>
        <v>0.36</v>
      </c>
      <c r="I177" s="256"/>
      <c r="J177" s="742">
        <f t="shared" si="21"/>
        <v>0</v>
      </c>
      <c r="K177" s="742" t="e">
        <f t="shared" si="18"/>
        <v>#DIV/0!</v>
      </c>
      <c r="L177" s="658"/>
      <c r="M177" s="658"/>
      <c r="N177" s="296"/>
      <c r="O177" s="759"/>
      <c r="P177" s="790"/>
      <c r="Q177" s="776"/>
      <c r="R177" s="8">
        <f t="shared" si="19"/>
        <v>0</v>
      </c>
    </row>
    <row r="178" spans="1:18" ht="16.5" customHeight="1">
      <c r="A178" s="773" t="str">
        <f t="shared" si="20"/>
        <v/>
      </c>
      <c r="B178" s="296"/>
      <c r="C178" s="757"/>
      <c r="D178" s="758"/>
      <c r="E178" s="842"/>
      <c r="F178" s="843"/>
      <c r="G178" s="843"/>
      <c r="H178" s="833">
        <f t="shared" si="16"/>
        <v>0.36</v>
      </c>
      <c r="I178" s="256"/>
      <c r="J178" s="742">
        <f t="shared" si="21"/>
        <v>0</v>
      </c>
      <c r="K178" s="742" t="e">
        <f t="shared" si="18"/>
        <v>#DIV/0!</v>
      </c>
      <c r="L178" s="658"/>
      <c r="M178" s="658"/>
      <c r="N178" s="296"/>
      <c r="O178" s="759"/>
      <c r="P178" s="790"/>
      <c r="Q178" s="776"/>
      <c r="R178" s="8">
        <f t="shared" si="19"/>
        <v>0</v>
      </c>
    </row>
    <row r="179" spans="1:18" ht="16.5" customHeight="1">
      <c r="A179" s="773" t="str">
        <f t="shared" si="20"/>
        <v/>
      </c>
      <c r="B179" s="296"/>
      <c r="C179" s="757"/>
      <c r="D179" s="758"/>
      <c r="E179" s="842"/>
      <c r="F179" s="843"/>
      <c r="G179" s="843"/>
      <c r="H179" s="833">
        <f t="shared" si="16"/>
        <v>0.36</v>
      </c>
      <c r="I179" s="256"/>
      <c r="J179" s="742">
        <f t="shared" si="21"/>
        <v>0</v>
      </c>
      <c r="K179" s="742" t="e">
        <f t="shared" si="18"/>
        <v>#DIV/0!</v>
      </c>
      <c r="L179" s="658"/>
      <c r="M179" s="658"/>
      <c r="N179" s="191"/>
      <c r="O179" s="759"/>
      <c r="P179" s="790"/>
      <c r="Q179" s="776"/>
      <c r="R179" s="8">
        <f t="shared" si="19"/>
        <v>0</v>
      </c>
    </row>
    <row r="180" spans="1:18" ht="16.5" customHeight="1">
      <c r="A180" s="773" t="str">
        <f t="shared" si="20"/>
        <v/>
      </c>
      <c r="B180" s="296"/>
      <c r="C180" s="757"/>
      <c r="D180" s="758"/>
      <c r="E180" s="842"/>
      <c r="F180" s="843"/>
      <c r="G180" s="843"/>
      <c r="H180" s="833">
        <f t="shared" si="16"/>
        <v>0.36</v>
      </c>
      <c r="I180" s="256"/>
      <c r="J180" s="742">
        <f t="shared" si="21"/>
        <v>0</v>
      </c>
      <c r="K180" s="742" t="e">
        <f t="shared" si="18"/>
        <v>#DIV/0!</v>
      </c>
      <c r="L180" s="658"/>
      <c r="M180" s="658"/>
      <c r="N180" s="191"/>
      <c r="O180" s="759"/>
      <c r="P180" s="790"/>
      <c r="Q180" s="776"/>
      <c r="R180" s="8">
        <f t="shared" si="19"/>
        <v>0</v>
      </c>
    </row>
    <row r="181" spans="1:18" ht="16.5" customHeight="1">
      <c r="A181" s="773" t="str">
        <f t="shared" si="20"/>
        <v/>
      </c>
      <c r="B181" s="296"/>
      <c r="C181" s="757"/>
      <c r="D181" s="758"/>
      <c r="E181" s="842"/>
      <c r="F181" s="843"/>
      <c r="G181" s="843"/>
      <c r="H181" s="833">
        <f t="shared" si="16"/>
        <v>0.36</v>
      </c>
      <c r="I181" s="256"/>
      <c r="J181" s="742">
        <f t="shared" si="21"/>
        <v>0</v>
      </c>
      <c r="K181" s="742" t="e">
        <f t="shared" si="18"/>
        <v>#DIV/0!</v>
      </c>
      <c r="L181" s="658"/>
      <c r="M181" s="658"/>
      <c r="N181" s="191"/>
      <c r="O181" s="759"/>
      <c r="P181" s="790"/>
      <c r="Q181" s="776"/>
      <c r="R181" s="8">
        <f t="shared" si="19"/>
        <v>0</v>
      </c>
    </row>
    <row r="182" spans="1:18" ht="16.5" customHeight="1">
      <c r="A182" s="773" t="str">
        <f t="shared" si="20"/>
        <v/>
      </c>
      <c r="B182" s="296"/>
      <c r="C182" s="757"/>
      <c r="D182" s="758"/>
      <c r="E182" s="842"/>
      <c r="F182" s="843"/>
      <c r="G182" s="843"/>
      <c r="H182" s="833">
        <f t="shared" si="16"/>
        <v>0.36</v>
      </c>
      <c r="I182" s="256"/>
      <c r="J182" s="742">
        <f t="shared" si="21"/>
        <v>0</v>
      </c>
      <c r="K182" s="742" t="e">
        <f t="shared" si="18"/>
        <v>#DIV/0!</v>
      </c>
      <c r="L182" s="658"/>
      <c r="M182" s="658"/>
      <c r="N182" s="191"/>
      <c r="O182" s="759"/>
      <c r="P182" s="790"/>
      <c r="Q182" s="776"/>
      <c r="R182" s="8">
        <f t="shared" si="19"/>
        <v>0</v>
      </c>
    </row>
    <row r="183" spans="1:18" ht="16.5" customHeight="1">
      <c r="A183" s="773" t="str">
        <f t="shared" si="20"/>
        <v/>
      </c>
      <c r="B183" s="296"/>
      <c r="C183" s="757"/>
      <c r="D183" s="758"/>
      <c r="E183" s="842"/>
      <c r="F183" s="843"/>
      <c r="G183" s="843"/>
      <c r="H183" s="833">
        <f t="shared" si="16"/>
        <v>0.36</v>
      </c>
      <c r="I183" s="256"/>
      <c r="J183" s="742">
        <f t="shared" si="21"/>
        <v>0</v>
      </c>
      <c r="K183" s="742" t="e">
        <f t="shared" si="18"/>
        <v>#DIV/0!</v>
      </c>
      <c r="L183" s="658"/>
      <c r="M183" s="658"/>
      <c r="N183" s="296"/>
      <c r="O183" s="759"/>
      <c r="P183" s="790"/>
      <c r="Q183" s="776"/>
      <c r="R183" s="8">
        <f t="shared" si="19"/>
        <v>0</v>
      </c>
    </row>
    <row r="184" spans="1:18" ht="16.5" customHeight="1">
      <c r="A184" s="773" t="str">
        <f t="shared" si="20"/>
        <v/>
      </c>
      <c r="B184" s="296"/>
      <c r="C184" s="757"/>
      <c r="D184" s="758"/>
      <c r="E184" s="842"/>
      <c r="F184" s="843"/>
      <c r="G184" s="843"/>
      <c r="H184" s="833">
        <f t="shared" si="16"/>
        <v>0.36</v>
      </c>
      <c r="I184" s="256"/>
      <c r="J184" s="742">
        <f t="shared" si="21"/>
        <v>0</v>
      </c>
      <c r="K184" s="742" t="e">
        <f t="shared" si="18"/>
        <v>#DIV/0!</v>
      </c>
      <c r="L184" s="658"/>
      <c r="M184" s="658"/>
      <c r="N184" s="191"/>
      <c r="O184" s="759"/>
      <c r="P184" s="790"/>
      <c r="Q184" s="776"/>
      <c r="R184" s="8">
        <f t="shared" si="19"/>
        <v>0</v>
      </c>
    </row>
    <row r="185" spans="1:18" ht="16.5" customHeight="1">
      <c r="A185" s="773" t="str">
        <f t="shared" si="20"/>
        <v/>
      </c>
      <c r="B185" s="296"/>
      <c r="C185" s="757"/>
      <c r="D185" s="758"/>
      <c r="E185" s="842"/>
      <c r="F185" s="843"/>
      <c r="G185" s="843"/>
      <c r="H185" s="833">
        <f t="shared" si="16"/>
        <v>0.36</v>
      </c>
      <c r="I185" s="256"/>
      <c r="J185" s="742">
        <f t="shared" si="21"/>
        <v>0</v>
      </c>
      <c r="K185" s="742" t="e">
        <f t="shared" si="18"/>
        <v>#DIV/0!</v>
      </c>
      <c r="L185" s="658"/>
      <c r="M185" s="658"/>
      <c r="N185" s="191"/>
      <c r="O185" s="759"/>
      <c r="P185" s="790"/>
      <c r="Q185" s="776"/>
      <c r="R185" s="8">
        <f t="shared" si="19"/>
        <v>0</v>
      </c>
    </row>
    <row r="186" spans="1:18" ht="16.5" customHeight="1">
      <c r="A186" s="773" t="str">
        <f t="shared" si="20"/>
        <v/>
      </c>
      <c r="B186" s="296"/>
      <c r="C186" s="757"/>
      <c r="D186" s="758"/>
      <c r="E186" s="842"/>
      <c r="F186" s="843"/>
      <c r="G186" s="843"/>
      <c r="H186" s="833">
        <f t="shared" si="16"/>
        <v>0.36</v>
      </c>
      <c r="I186" s="256"/>
      <c r="J186" s="742">
        <f t="shared" si="21"/>
        <v>0</v>
      </c>
      <c r="K186" s="742" t="e">
        <f t="shared" si="18"/>
        <v>#DIV/0!</v>
      </c>
      <c r="L186" s="658"/>
      <c r="M186" s="658"/>
      <c r="N186" s="191"/>
      <c r="O186" s="759"/>
      <c r="P186" s="790"/>
      <c r="Q186" s="776"/>
      <c r="R186" s="8">
        <f t="shared" si="19"/>
        <v>0</v>
      </c>
    </row>
    <row r="187" spans="1:18" ht="16.5" customHeight="1">
      <c r="A187" s="773" t="str">
        <f t="shared" si="20"/>
        <v/>
      </c>
      <c r="B187" s="296"/>
      <c r="C187" s="757"/>
      <c r="D187" s="758"/>
      <c r="E187" s="842"/>
      <c r="F187" s="843"/>
      <c r="G187" s="843"/>
      <c r="H187" s="833">
        <f t="shared" si="16"/>
        <v>0.36</v>
      </c>
      <c r="I187" s="256"/>
      <c r="J187" s="742">
        <f t="shared" si="21"/>
        <v>0</v>
      </c>
      <c r="K187" s="742" t="e">
        <f t="shared" si="18"/>
        <v>#DIV/0!</v>
      </c>
      <c r="L187" s="658"/>
      <c r="M187" s="658"/>
      <c r="N187" s="191"/>
      <c r="O187" s="759"/>
      <c r="P187" s="790"/>
      <c r="Q187" s="776"/>
      <c r="R187" s="8">
        <f t="shared" si="19"/>
        <v>0</v>
      </c>
    </row>
    <row r="188" spans="1:18" ht="16.5" customHeight="1">
      <c r="A188" s="773" t="str">
        <f t="shared" si="20"/>
        <v/>
      </c>
      <c r="B188" s="296"/>
      <c r="C188" s="757"/>
      <c r="D188" s="758"/>
      <c r="E188" s="842"/>
      <c r="F188" s="843"/>
      <c r="G188" s="843"/>
      <c r="H188" s="833">
        <f t="shared" si="16"/>
        <v>0.36</v>
      </c>
      <c r="I188" s="256"/>
      <c r="J188" s="742">
        <f t="shared" si="21"/>
        <v>0</v>
      </c>
      <c r="K188" s="742" t="e">
        <f t="shared" si="18"/>
        <v>#DIV/0!</v>
      </c>
      <c r="L188" s="658"/>
      <c r="M188" s="658"/>
      <c r="N188" s="296"/>
      <c r="O188" s="759"/>
      <c r="P188" s="790"/>
      <c r="Q188" s="776"/>
      <c r="R188" s="8">
        <f t="shared" si="19"/>
        <v>0</v>
      </c>
    </row>
    <row r="189" spans="1:18" ht="16.5" customHeight="1">
      <c r="A189" s="773" t="str">
        <f t="shared" si="20"/>
        <v/>
      </c>
      <c r="B189" s="296"/>
      <c r="C189" s="757"/>
      <c r="D189" s="758"/>
      <c r="E189" s="842"/>
      <c r="F189" s="843"/>
      <c r="G189" s="843"/>
      <c r="H189" s="833">
        <f t="shared" si="16"/>
        <v>0.36</v>
      </c>
      <c r="I189" s="256"/>
      <c r="J189" s="742">
        <f t="shared" si="21"/>
        <v>0</v>
      </c>
      <c r="K189" s="742" t="e">
        <f t="shared" si="18"/>
        <v>#DIV/0!</v>
      </c>
      <c r="L189" s="658"/>
      <c r="M189" s="658"/>
      <c r="N189" s="444"/>
      <c r="O189" s="757"/>
      <c r="P189" s="790"/>
      <c r="Q189" s="776"/>
      <c r="R189" s="8">
        <f t="shared" si="19"/>
        <v>0</v>
      </c>
    </row>
    <row r="190" spans="1:18" ht="16.5" customHeight="1">
      <c r="A190" s="773" t="str">
        <f t="shared" si="20"/>
        <v/>
      </c>
      <c r="B190" s="296"/>
      <c r="C190" s="757"/>
      <c r="D190" s="758"/>
      <c r="E190" s="842"/>
      <c r="F190" s="843"/>
      <c r="G190" s="843"/>
      <c r="H190" s="833">
        <f t="shared" si="16"/>
        <v>0.36</v>
      </c>
      <c r="I190" s="256"/>
      <c r="J190" s="742">
        <f t="shared" si="21"/>
        <v>0</v>
      </c>
      <c r="K190" s="742" t="e">
        <f t="shared" si="18"/>
        <v>#DIV/0!</v>
      </c>
      <c r="L190" s="658"/>
      <c r="M190" s="658"/>
      <c r="N190" s="444"/>
      <c r="O190" s="757"/>
      <c r="P190" s="790"/>
      <c r="Q190" s="776"/>
      <c r="R190" s="8"/>
    </row>
    <row r="191" spans="1:18" ht="16.5" customHeight="1">
      <c r="A191" s="773" t="str">
        <f t="shared" si="20"/>
        <v/>
      </c>
      <c r="B191" s="296"/>
      <c r="C191" s="757"/>
      <c r="D191" s="758"/>
      <c r="E191" s="842"/>
      <c r="F191" s="843"/>
      <c r="G191" s="843"/>
      <c r="H191" s="833">
        <f t="shared" si="16"/>
        <v>0.36</v>
      </c>
      <c r="I191" s="256"/>
      <c r="J191" s="742">
        <f t="shared" si="21"/>
        <v>0</v>
      </c>
      <c r="K191" s="742" t="e">
        <f t="shared" si="18"/>
        <v>#DIV/0!</v>
      </c>
      <c r="L191" s="658"/>
      <c r="M191" s="658"/>
      <c r="N191" s="829" t="s">
        <v>442</v>
      </c>
      <c r="O191" s="830"/>
      <c r="P191" s="831"/>
      <c r="Q191" s="529"/>
      <c r="R191" s="529">
        <f>SUM(R139:R190)</f>
        <v>0</v>
      </c>
    </row>
    <row r="192" spans="1:18" ht="16.5" customHeight="1">
      <c r="A192" s="773" t="str">
        <f t="shared" si="20"/>
        <v/>
      </c>
      <c r="B192" s="296"/>
      <c r="C192" s="757"/>
      <c r="D192" s="758"/>
      <c r="E192" s="842"/>
      <c r="F192" s="843"/>
      <c r="G192" s="843"/>
      <c r="H192" s="833">
        <f t="shared" si="16"/>
        <v>0.36</v>
      </c>
      <c r="I192" s="256"/>
      <c r="J192" s="742">
        <f t="shared" si="21"/>
        <v>0</v>
      </c>
      <c r="K192" s="742" t="e">
        <f t="shared" si="18"/>
        <v>#DIV/0!</v>
      </c>
      <c r="L192" s="658"/>
      <c r="M192" s="658"/>
      <c r="N192" s="444"/>
      <c r="O192" s="757"/>
      <c r="P192" s="790"/>
      <c r="Q192" s="776"/>
      <c r="R192" s="8">
        <f t="shared" ref="R192:R194" si="22">ROUND(P192*Q192,0)</f>
        <v>0</v>
      </c>
    </row>
    <row r="193" spans="1:18" ht="16.5" customHeight="1">
      <c r="A193" s="773" t="str">
        <f t="shared" si="20"/>
        <v/>
      </c>
      <c r="B193" s="296"/>
      <c r="C193" s="757"/>
      <c r="D193" s="758"/>
      <c r="E193" s="842"/>
      <c r="F193" s="843"/>
      <c r="G193" s="843"/>
      <c r="H193" s="833">
        <f t="shared" si="16"/>
        <v>0.36</v>
      </c>
      <c r="I193" s="256"/>
      <c r="J193" s="742">
        <f t="shared" si="21"/>
        <v>0</v>
      </c>
      <c r="K193" s="742" t="e">
        <f t="shared" si="18"/>
        <v>#DIV/0!</v>
      </c>
      <c r="L193" s="658"/>
      <c r="M193" s="658"/>
      <c r="N193" s="444"/>
      <c r="O193" s="757"/>
      <c r="P193" s="790"/>
      <c r="Q193" s="776"/>
      <c r="R193" s="8">
        <f t="shared" si="22"/>
        <v>0</v>
      </c>
    </row>
    <row r="194" spans="1:18" ht="16.5" customHeight="1">
      <c r="A194" s="773" t="str">
        <f t="shared" si="20"/>
        <v/>
      </c>
      <c r="B194" s="296"/>
      <c r="C194" s="757"/>
      <c r="D194" s="758"/>
      <c r="E194" s="842"/>
      <c r="F194" s="843"/>
      <c r="G194" s="843"/>
      <c r="H194" s="833">
        <f t="shared" si="16"/>
        <v>0.36</v>
      </c>
      <c r="I194" s="256"/>
      <c r="J194" s="742">
        <f t="shared" si="21"/>
        <v>0</v>
      </c>
      <c r="K194" s="742" t="e">
        <f t="shared" si="18"/>
        <v>#DIV/0!</v>
      </c>
      <c r="L194" s="658"/>
      <c r="M194" s="658"/>
      <c r="N194" s="444"/>
      <c r="O194" s="757"/>
      <c r="P194" s="790"/>
      <c r="Q194" s="776"/>
      <c r="R194" s="8">
        <f t="shared" si="22"/>
        <v>0</v>
      </c>
    </row>
    <row r="195" spans="1:18" ht="16.5" customHeight="1">
      <c r="A195" s="773" t="str">
        <f t="shared" si="20"/>
        <v/>
      </c>
      <c r="B195" s="296"/>
      <c r="C195" s="757"/>
      <c r="D195" s="758"/>
      <c r="E195" s="842"/>
      <c r="F195" s="843"/>
      <c r="G195" s="843"/>
      <c r="H195" s="833">
        <f t="shared" si="16"/>
        <v>0.36</v>
      </c>
      <c r="I195" s="256"/>
      <c r="J195" s="742">
        <f t="shared" si="21"/>
        <v>0</v>
      </c>
      <c r="K195" s="742" t="e">
        <f t="shared" si="18"/>
        <v>#DIV/0!</v>
      </c>
      <c r="L195" s="658"/>
      <c r="M195" s="658"/>
      <c r="N195" s="444"/>
      <c r="O195" s="757"/>
      <c r="P195" s="790"/>
      <c r="Q195" s="776"/>
      <c r="R195" s="8"/>
    </row>
    <row r="196" spans="1:18" ht="16.5" customHeight="1">
      <c r="A196" s="773" t="str">
        <f t="shared" si="20"/>
        <v/>
      </c>
      <c r="B196" s="296"/>
      <c r="C196" s="757"/>
      <c r="D196" s="758"/>
      <c r="E196" s="842"/>
      <c r="F196" s="843"/>
      <c r="G196" s="843"/>
      <c r="H196" s="833">
        <f t="shared" si="16"/>
        <v>0.36</v>
      </c>
      <c r="I196" s="256"/>
      <c r="J196" s="742">
        <f t="shared" si="21"/>
        <v>0</v>
      </c>
      <c r="K196" s="742" t="e">
        <f t="shared" si="18"/>
        <v>#DIV/0!</v>
      </c>
      <c r="L196" s="658"/>
      <c r="M196" s="658"/>
      <c r="N196" s="829" t="s">
        <v>443</v>
      </c>
      <c r="O196" s="830"/>
      <c r="P196" s="831"/>
      <c r="Q196" s="529"/>
      <c r="R196" s="529">
        <f>SUM(R192:R195)</f>
        <v>0</v>
      </c>
    </row>
    <row r="197" spans="1:18" ht="16.5" customHeight="1">
      <c r="A197" s="773" t="str">
        <f t="shared" si="20"/>
        <v/>
      </c>
      <c r="B197" s="296"/>
      <c r="C197" s="757"/>
      <c r="D197" s="758"/>
      <c r="E197" s="842"/>
      <c r="F197" s="843"/>
      <c r="G197" s="843"/>
      <c r="H197" s="833">
        <f t="shared" si="16"/>
        <v>0.36</v>
      </c>
      <c r="I197" s="256"/>
      <c r="J197" s="742">
        <f t="shared" si="21"/>
        <v>0</v>
      </c>
      <c r="K197" s="742" t="e">
        <f t="shared" si="18"/>
        <v>#DIV/0!</v>
      </c>
      <c r="L197" s="658"/>
      <c r="M197" s="658"/>
      <c r="N197" s="444" t="s">
        <v>444</v>
      </c>
      <c r="O197" s="757"/>
      <c r="P197" s="790"/>
      <c r="Q197" s="776"/>
      <c r="R197" s="8">
        <f>R191</f>
        <v>0</v>
      </c>
    </row>
    <row r="198" spans="1:18" ht="16.5" customHeight="1">
      <c r="A198" s="773" t="str">
        <f t="shared" si="20"/>
        <v/>
      </c>
      <c r="B198" s="296"/>
      <c r="C198" s="757"/>
      <c r="D198" s="758"/>
      <c r="E198" s="842"/>
      <c r="F198" s="843"/>
      <c r="G198" s="843"/>
      <c r="H198" s="833">
        <f t="shared" si="16"/>
        <v>0.36</v>
      </c>
      <c r="I198" s="256"/>
      <c r="J198" s="742">
        <f t="shared" si="21"/>
        <v>0</v>
      </c>
      <c r="K198" s="742" t="e">
        <f t="shared" si="18"/>
        <v>#DIV/0!</v>
      </c>
      <c r="L198" s="658"/>
      <c r="M198" s="658"/>
      <c r="N198" s="444" t="s">
        <v>445</v>
      </c>
      <c r="O198" s="757"/>
      <c r="P198" s="790"/>
      <c r="Q198" s="776"/>
      <c r="R198" s="8">
        <f>R196</f>
        <v>0</v>
      </c>
    </row>
    <row r="199" spans="1:18" ht="16.5" customHeight="1">
      <c r="A199" s="773" t="str">
        <f t="shared" si="20"/>
        <v/>
      </c>
      <c r="B199" s="296"/>
      <c r="C199" s="757"/>
      <c r="D199" s="758"/>
      <c r="E199" s="842"/>
      <c r="F199" s="843"/>
      <c r="G199" s="843"/>
      <c r="H199" s="833">
        <f t="shared" si="16"/>
        <v>0.36</v>
      </c>
      <c r="I199" s="256"/>
      <c r="J199" s="742">
        <f t="shared" si="21"/>
        <v>0</v>
      </c>
      <c r="K199" s="742" t="e">
        <f t="shared" si="18"/>
        <v>#DIV/0!</v>
      </c>
      <c r="L199" s="658"/>
      <c r="M199" s="658"/>
      <c r="N199" s="444" t="s">
        <v>447</v>
      </c>
      <c r="O199" s="757"/>
      <c r="P199" s="790"/>
      <c r="Q199" s="776"/>
      <c r="R199" s="8"/>
    </row>
    <row r="200" spans="1:18" ht="16.5" customHeight="1">
      <c r="A200" s="773" t="str">
        <f t="shared" si="20"/>
        <v/>
      </c>
      <c r="B200" s="296"/>
      <c r="C200" s="757"/>
      <c r="D200" s="758"/>
      <c r="E200" s="842"/>
      <c r="F200" s="843"/>
      <c r="G200" s="843"/>
      <c r="H200" s="833">
        <f t="shared" si="16"/>
        <v>0.36</v>
      </c>
      <c r="I200" s="256"/>
      <c r="J200" s="742">
        <f t="shared" si="21"/>
        <v>0</v>
      </c>
      <c r="K200" s="742" t="e">
        <f t="shared" si="18"/>
        <v>#DIV/0!</v>
      </c>
      <c r="L200" s="658"/>
      <c r="M200" s="658"/>
      <c r="N200" s="444" t="s">
        <v>446</v>
      </c>
      <c r="O200" s="757"/>
      <c r="P200" s="790"/>
      <c r="Q200" s="776"/>
      <c r="R200" s="8"/>
    </row>
    <row r="201" spans="1:18" ht="16.5" customHeight="1">
      <c r="A201" s="773" t="str">
        <f t="shared" si="20"/>
        <v/>
      </c>
      <c r="B201" s="296"/>
      <c r="C201" s="757"/>
      <c r="D201" s="758"/>
      <c r="E201" s="842"/>
      <c r="F201" s="843"/>
      <c r="G201" s="843"/>
      <c r="H201" s="833">
        <f t="shared" si="16"/>
        <v>0.36</v>
      </c>
      <c r="I201" s="256"/>
      <c r="J201" s="742">
        <f t="shared" si="21"/>
        <v>0</v>
      </c>
      <c r="K201" s="742" t="e">
        <f t="shared" si="18"/>
        <v>#DIV/0!</v>
      </c>
      <c r="L201" s="658"/>
      <c r="M201" s="658"/>
      <c r="N201" s="444" t="s">
        <v>459</v>
      </c>
      <c r="O201" s="757"/>
      <c r="P201" s="790"/>
      <c r="Q201" s="776"/>
      <c r="R201" s="8"/>
    </row>
    <row r="202" spans="1:18" ht="16.5" customHeight="1">
      <c r="A202" s="773" t="str">
        <f t="shared" si="20"/>
        <v/>
      </c>
      <c r="B202" s="296"/>
      <c r="C202" s="757"/>
      <c r="D202" s="758"/>
      <c r="E202" s="842"/>
      <c r="F202" s="843"/>
      <c r="G202" s="843"/>
      <c r="H202" s="833">
        <f t="shared" si="16"/>
        <v>0.36</v>
      </c>
      <c r="I202" s="256"/>
      <c r="J202" s="742">
        <f t="shared" si="21"/>
        <v>0</v>
      </c>
      <c r="K202" s="742" t="e">
        <f t="shared" si="18"/>
        <v>#DIV/0!</v>
      </c>
      <c r="L202" s="658"/>
      <c r="M202" s="658"/>
      <c r="N202" s="191"/>
      <c r="O202" s="757"/>
      <c r="P202" s="790"/>
      <c r="Q202" s="776"/>
      <c r="R202" s="8"/>
    </row>
    <row r="203" spans="1:18" ht="16.5" customHeight="1">
      <c r="A203" s="773" t="str">
        <f t="shared" si="20"/>
        <v/>
      </c>
      <c r="B203" s="296"/>
      <c r="C203" s="757"/>
      <c r="D203" s="758"/>
      <c r="E203" s="842"/>
      <c r="F203" s="843"/>
      <c r="G203" s="843"/>
      <c r="H203" s="833">
        <f t="shared" ref="H203:H243" si="23">ROUND(((E203+F203)*2*0.01+1.2)*((F203+G203)*0.01+0.3),2)</f>
        <v>0.36</v>
      </c>
      <c r="I203" s="256"/>
      <c r="J203" s="742">
        <f t="shared" si="21"/>
        <v>0</v>
      </c>
      <c r="K203" s="742" t="e">
        <f t="shared" ref="K203:K243" si="24">H203*$R$207</f>
        <v>#DIV/0!</v>
      </c>
      <c r="L203" s="658"/>
      <c r="M203" s="658"/>
      <c r="N203" s="444"/>
      <c r="O203" s="757"/>
      <c r="P203" s="790"/>
      <c r="Q203" s="776"/>
      <c r="R203" s="8"/>
    </row>
    <row r="204" spans="1:18" ht="16.5" customHeight="1">
      <c r="A204" s="773" t="str">
        <f t="shared" ref="A204:A243" si="25">IF(B204&lt;&gt;"",ROW()-171,"")</f>
        <v/>
      </c>
      <c r="B204" s="296"/>
      <c r="C204" s="757"/>
      <c r="D204" s="758"/>
      <c r="E204" s="842"/>
      <c r="F204" s="843"/>
      <c r="G204" s="843"/>
      <c r="H204" s="833">
        <f t="shared" si="23"/>
        <v>0.36</v>
      </c>
      <c r="I204" s="256"/>
      <c r="J204" s="742">
        <f t="shared" ref="J204:J243" si="26">H204*I204</f>
        <v>0</v>
      </c>
      <c r="K204" s="742" t="e">
        <f t="shared" si="24"/>
        <v>#DIV/0!</v>
      </c>
      <c r="L204" s="658"/>
      <c r="M204" s="658"/>
      <c r="N204" s="829" t="s">
        <v>456</v>
      </c>
      <c r="O204" s="830"/>
      <c r="P204" s="831"/>
      <c r="Q204" s="529"/>
      <c r="R204" s="529">
        <f>SUM(R197:R203)</f>
        <v>0</v>
      </c>
    </row>
    <row r="205" spans="1:18" ht="16.5" customHeight="1">
      <c r="A205" s="773" t="str">
        <f t="shared" si="25"/>
        <v/>
      </c>
      <c r="B205" s="296"/>
      <c r="C205" s="757"/>
      <c r="D205" s="758"/>
      <c r="E205" s="842"/>
      <c r="F205" s="843"/>
      <c r="G205" s="843"/>
      <c r="H205" s="833">
        <f t="shared" si="23"/>
        <v>0.36</v>
      </c>
      <c r="I205" s="256"/>
      <c r="J205" s="742">
        <f t="shared" si="26"/>
        <v>0</v>
      </c>
      <c r="K205" s="742" t="e">
        <f t="shared" si="24"/>
        <v>#DIV/0!</v>
      </c>
      <c r="L205" s="658"/>
      <c r="M205" s="658"/>
      <c r="N205" s="445"/>
      <c r="O205" s="765"/>
      <c r="P205" s="791"/>
      <c r="Q205" s="755"/>
      <c r="R205" s="767"/>
    </row>
    <row r="206" spans="1:18" ht="16.5" customHeight="1">
      <c r="A206" s="773" t="str">
        <f t="shared" si="25"/>
        <v/>
      </c>
      <c r="B206" s="296"/>
      <c r="C206" s="757"/>
      <c r="D206" s="758"/>
      <c r="E206" s="842"/>
      <c r="F206" s="843"/>
      <c r="G206" s="843"/>
      <c r="H206" s="833">
        <f t="shared" si="23"/>
        <v>0.36</v>
      </c>
      <c r="I206" s="256"/>
      <c r="J206" s="742">
        <f t="shared" si="26"/>
        <v>0</v>
      </c>
      <c r="K206" s="742" t="e">
        <f t="shared" si="24"/>
        <v>#DIV/0!</v>
      </c>
      <c r="L206" s="658"/>
      <c r="M206" s="658"/>
      <c r="N206" s="445"/>
      <c r="O206" s="765"/>
      <c r="P206" s="791"/>
      <c r="Q206" s="755"/>
      <c r="R206" s="767"/>
    </row>
    <row r="207" spans="1:18" ht="16.5" customHeight="1">
      <c r="A207" s="773" t="str">
        <f t="shared" si="25"/>
        <v/>
      </c>
      <c r="B207" s="296"/>
      <c r="C207" s="757"/>
      <c r="D207" s="758"/>
      <c r="E207" s="842"/>
      <c r="F207" s="843"/>
      <c r="G207" s="843"/>
      <c r="H207" s="833">
        <f t="shared" si="23"/>
        <v>0.36</v>
      </c>
      <c r="I207" s="256"/>
      <c r="J207" s="742">
        <f t="shared" si="26"/>
        <v>0</v>
      </c>
      <c r="K207" s="742" t="e">
        <f t="shared" si="24"/>
        <v>#DIV/0!</v>
      </c>
      <c r="L207" s="658"/>
      <c r="M207" s="658"/>
      <c r="N207" s="1092" t="s">
        <v>457</v>
      </c>
      <c r="O207" s="1093"/>
      <c r="P207" s="1093"/>
      <c r="Q207" s="1094"/>
      <c r="R207" s="834" t="e">
        <f>R204/J245</f>
        <v>#DIV/0!</v>
      </c>
    </row>
    <row r="208" spans="1:18" ht="16.5" customHeight="1">
      <c r="A208" s="773" t="str">
        <f t="shared" si="25"/>
        <v/>
      </c>
      <c r="B208" s="296"/>
      <c r="C208" s="757"/>
      <c r="D208" s="758"/>
      <c r="E208" s="842"/>
      <c r="F208" s="843"/>
      <c r="G208" s="843"/>
      <c r="H208" s="833">
        <f t="shared" si="23"/>
        <v>0.36</v>
      </c>
      <c r="I208" s="256"/>
      <c r="J208" s="742">
        <f t="shared" si="26"/>
        <v>0</v>
      </c>
      <c r="K208" s="742" t="e">
        <f t="shared" si="24"/>
        <v>#DIV/0!</v>
      </c>
      <c r="L208" s="658"/>
      <c r="M208" s="658"/>
      <c r="O208" s="737"/>
      <c r="P208" s="737"/>
      <c r="Q208" s="737"/>
    </row>
    <row r="209" spans="1:17" ht="16.5" customHeight="1">
      <c r="A209" s="773" t="str">
        <f t="shared" si="25"/>
        <v/>
      </c>
      <c r="B209" s="296"/>
      <c r="C209" s="757"/>
      <c r="D209" s="758"/>
      <c r="E209" s="842"/>
      <c r="F209" s="843"/>
      <c r="G209" s="843"/>
      <c r="H209" s="833">
        <f t="shared" si="23"/>
        <v>0.36</v>
      </c>
      <c r="I209" s="256"/>
      <c r="J209" s="742">
        <f t="shared" si="26"/>
        <v>0</v>
      </c>
      <c r="K209" s="742" t="e">
        <f t="shared" si="24"/>
        <v>#DIV/0!</v>
      </c>
      <c r="L209" s="658"/>
      <c r="M209" s="658"/>
      <c r="O209" s="737"/>
      <c r="P209" s="737"/>
      <c r="Q209" s="737"/>
    </row>
    <row r="210" spans="1:17" ht="16.5" customHeight="1">
      <c r="A210" s="773" t="str">
        <f t="shared" si="25"/>
        <v/>
      </c>
      <c r="B210" s="296"/>
      <c r="C210" s="757"/>
      <c r="D210" s="758"/>
      <c r="E210" s="842"/>
      <c r="F210" s="843"/>
      <c r="G210" s="843"/>
      <c r="H210" s="833">
        <f t="shared" si="23"/>
        <v>0.36</v>
      </c>
      <c r="I210" s="256"/>
      <c r="J210" s="742">
        <f t="shared" si="26"/>
        <v>0</v>
      </c>
      <c r="K210" s="742" t="e">
        <f t="shared" si="24"/>
        <v>#DIV/0!</v>
      </c>
      <c r="L210" s="658"/>
      <c r="M210" s="658"/>
      <c r="O210" s="737"/>
      <c r="P210" s="737"/>
      <c r="Q210" s="737"/>
    </row>
    <row r="211" spans="1:17" ht="16.5" customHeight="1">
      <c r="A211" s="773" t="str">
        <f t="shared" si="25"/>
        <v/>
      </c>
      <c r="B211" s="296"/>
      <c r="C211" s="757"/>
      <c r="D211" s="758"/>
      <c r="E211" s="842"/>
      <c r="F211" s="843"/>
      <c r="G211" s="843"/>
      <c r="H211" s="833">
        <f t="shared" si="23"/>
        <v>0.36</v>
      </c>
      <c r="I211" s="256"/>
      <c r="J211" s="742">
        <f t="shared" si="26"/>
        <v>0</v>
      </c>
      <c r="K211" s="742" t="e">
        <f t="shared" si="24"/>
        <v>#DIV/0!</v>
      </c>
      <c r="L211" s="658"/>
      <c r="M211" s="658"/>
      <c r="O211" s="737"/>
      <c r="P211" s="737"/>
      <c r="Q211" s="737"/>
    </row>
    <row r="212" spans="1:17" ht="16.5" customHeight="1">
      <c r="A212" s="773" t="str">
        <f t="shared" si="25"/>
        <v/>
      </c>
      <c r="B212" s="296"/>
      <c r="C212" s="757"/>
      <c r="D212" s="758"/>
      <c r="E212" s="842"/>
      <c r="F212" s="843"/>
      <c r="G212" s="843"/>
      <c r="H212" s="833">
        <f t="shared" si="23"/>
        <v>0.36</v>
      </c>
      <c r="I212" s="256"/>
      <c r="J212" s="742">
        <f t="shared" si="26"/>
        <v>0</v>
      </c>
      <c r="K212" s="742" t="e">
        <f t="shared" si="24"/>
        <v>#DIV/0!</v>
      </c>
      <c r="L212" s="658"/>
      <c r="M212" s="658"/>
      <c r="O212" s="737"/>
      <c r="P212" s="737"/>
      <c r="Q212" s="737"/>
    </row>
    <row r="213" spans="1:17" ht="16.5" customHeight="1">
      <c r="A213" s="773" t="str">
        <f t="shared" si="25"/>
        <v/>
      </c>
      <c r="B213" s="296"/>
      <c r="C213" s="757"/>
      <c r="D213" s="758"/>
      <c r="E213" s="842"/>
      <c r="F213" s="843"/>
      <c r="G213" s="843"/>
      <c r="H213" s="833">
        <f t="shared" si="23"/>
        <v>0.36</v>
      </c>
      <c r="I213" s="256"/>
      <c r="J213" s="742">
        <f t="shared" si="26"/>
        <v>0</v>
      </c>
      <c r="K213" s="742" t="e">
        <f t="shared" si="24"/>
        <v>#DIV/0!</v>
      </c>
      <c r="L213" s="658"/>
      <c r="M213" s="658"/>
      <c r="O213" s="737"/>
      <c r="P213" s="737"/>
      <c r="Q213" s="737"/>
    </row>
    <row r="214" spans="1:17" ht="16.5" customHeight="1">
      <c r="A214" s="773" t="str">
        <f t="shared" si="25"/>
        <v/>
      </c>
      <c r="B214" s="296"/>
      <c r="C214" s="757"/>
      <c r="D214" s="758"/>
      <c r="E214" s="842"/>
      <c r="F214" s="843"/>
      <c r="G214" s="843"/>
      <c r="H214" s="833">
        <f t="shared" si="23"/>
        <v>0.36</v>
      </c>
      <c r="I214" s="256"/>
      <c r="J214" s="742">
        <f t="shared" si="26"/>
        <v>0</v>
      </c>
      <c r="K214" s="742" t="e">
        <f t="shared" si="24"/>
        <v>#DIV/0!</v>
      </c>
      <c r="L214" s="658"/>
      <c r="M214" s="658"/>
      <c r="O214" s="737"/>
      <c r="P214" s="737"/>
      <c r="Q214" s="737"/>
    </row>
    <row r="215" spans="1:17" ht="16.5" customHeight="1">
      <c r="A215" s="773" t="str">
        <f t="shared" si="25"/>
        <v/>
      </c>
      <c r="B215" s="296"/>
      <c r="C215" s="757"/>
      <c r="D215" s="758"/>
      <c r="E215" s="842"/>
      <c r="F215" s="843"/>
      <c r="G215" s="843"/>
      <c r="H215" s="833">
        <f t="shared" si="23"/>
        <v>0.36</v>
      </c>
      <c r="I215" s="256"/>
      <c r="J215" s="742">
        <f t="shared" si="26"/>
        <v>0</v>
      </c>
      <c r="K215" s="742" t="e">
        <f t="shared" si="24"/>
        <v>#DIV/0!</v>
      </c>
      <c r="L215" s="658"/>
      <c r="M215" s="658"/>
      <c r="O215" s="737"/>
      <c r="P215" s="737"/>
      <c r="Q215" s="737"/>
    </row>
    <row r="216" spans="1:17" ht="16.5" customHeight="1">
      <c r="A216" s="773" t="str">
        <f t="shared" si="25"/>
        <v/>
      </c>
      <c r="B216" s="296"/>
      <c r="C216" s="757"/>
      <c r="D216" s="758"/>
      <c r="E216" s="842"/>
      <c r="F216" s="843"/>
      <c r="G216" s="843"/>
      <c r="H216" s="833">
        <f t="shared" si="23"/>
        <v>0.36</v>
      </c>
      <c r="I216" s="256"/>
      <c r="J216" s="742">
        <f t="shared" si="26"/>
        <v>0</v>
      </c>
      <c r="K216" s="742" t="e">
        <f t="shared" si="24"/>
        <v>#DIV/0!</v>
      </c>
      <c r="L216" s="658"/>
      <c r="M216" s="658"/>
      <c r="O216" s="737"/>
      <c r="P216" s="737"/>
      <c r="Q216" s="737"/>
    </row>
    <row r="217" spans="1:17" ht="16.5" customHeight="1">
      <c r="A217" s="773" t="str">
        <f t="shared" si="25"/>
        <v/>
      </c>
      <c r="B217" s="296"/>
      <c r="C217" s="757"/>
      <c r="D217" s="758"/>
      <c r="E217" s="842"/>
      <c r="F217" s="843"/>
      <c r="G217" s="843"/>
      <c r="H217" s="833">
        <f t="shared" si="23"/>
        <v>0.36</v>
      </c>
      <c r="I217" s="256"/>
      <c r="J217" s="742">
        <f t="shared" si="26"/>
        <v>0</v>
      </c>
      <c r="K217" s="742" t="e">
        <f t="shared" si="24"/>
        <v>#DIV/0!</v>
      </c>
      <c r="L217" s="658"/>
      <c r="M217" s="658"/>
      <c r="O217" s="737"/>
      <c r="P217" s="737"/>
      <c r="Q217" s="737"/>
    </row>
    <row r="218" spans="1:17" ht="16.5" customHeight="1">
      <c r="A218" s="773" t="str">
        <f t="shared" si="25"/>
        <v/>
      </c>
      <c r="B218" s="296"/>
      <c r="C218" s="757"/>
      <c r="D218" s="758"/>
      <c r="E218" s="842"/>
      <c r="F218" s="843"/>
      <c r="G218" s="843"/>
      <c r="H218" s="833">
        <f t="shared" si="23"/>
        <v>0.36</v>
      </c>
      <c r="I218" s="256"/>
      <c r="J218" s="742">
        <f t="shared" si="26"/>
        <v>0</v>
      </c>
      <c r="K218" s="742" t="e">
        <f t="shared" si="24"/>
        <v>#DIV/0!</v>
      </c>
      <c r="L218" s="658"/>
      <c r="M218" s="658"/>
      <c r="O218" s="737"/>
      <c r="P218" s="737"/>
      <c r="Q218" s="737"/>
    </row>
    <row r="219" spans="1:17" ht="16.5" customHeight="1">
      <c r="A219" s="773" t="str">
        <f t="shared" si="25"/>
        <v/>
      </c>
      <c r="B219" s="296"/>
      <c r="C219" s="757"/>
      <c r="D219" s="758"/>
      <c r="E219" s="842"/>
      <c r="F219" s="843"/>
      <c r="G219" s="843"/>
      <c r="H219" s="833">
        <f t="shared" si="23"/>
        <v>0.36</v>
      </c>
      <c r="I219" s="256"/>
      <c r="J219" s="742">
        <f t="shared" si="26"/>
        <v>0</v>
      </c>
      <c r="K219" s="742" t="e">
        <f t="shared" si="24"/>
        <v>#DIV/0!</v>
      </c>
      <c r="L219" s="658"/>
      <c r="M219" s="658"/>
      <c r="O219" s="737"/>
      <c r="P219" s="737"/>
      <c r="Q219" s="737"/>
    </row>
    <row r="220" spans="1:17" ht="16.5" customHeight="1">
      <c r="A220" s="773" t="str">
        <f t="shared" si="25"/>
        <v/>
      </c>
      <c r="B220" s="296"/>
      <c r="C220" s="757"/>
      <c r="D220" s="758"/>
      <c r="E220" s="842"/>
      <c r="F220" s="843"/>
      <c r="G220" s="843"/>
      <c r="H220" s="833">
        <f t="shared" si="23"/>
        <v>0.36</v>
      </c>
      <c r="I220" s="256"/>
      <c r="J220" s="742">
        <f t="shared" si="26"/>
        <v>0</v>
      </c>
      <c r="K220" s="742" t="e">
        <f t="shared" si="24"/>
        <v>#DIV/0!</v>
      </c>
      <c r="L220" s="658"/>
      <c r="M220" s="658"/>
      <c r="O220" s="737"/>
      <c r="P220" s="737"/>
      <c r="Q220" s="737"/>
    </row>
    <row r="221" spans="1:17" ht="16.5" customHeight="1">
      <c r="A221" s="773" t="str">
        <f t="shared" si="25"/>
        <v/>
      </c>
      <c r="B221" s="296"/>
      <c r="C221" s="757"/>
      <c r="D221" s="758"/>
      <c r="E221" s="842"/>
      <c r="F221" s="843"/>
      <c r="G221" s="843"/>
      <c r="H221" s="833">
        <f t="shared" si="23"/>
        <v>0.36</v>
      </c>
      <c r="I221" s="256"/>
      <c r="J221" s="742">
        <f t="shared" si="26"/>
        <v>0</v>
      </c>
      <c r="K221" s="742" t="e">
        <f t="shared" si="24"/>
        <v>#DIV/0!</v>
      </c>
      <c r="L221" s="658"/>
      <c r="M221" s="658"/>
      <c r="O221" s="737"/>
      <c r="P221" s="737"/>
      <c r="Q221" s="737"/>
    </row>
    <row r="222" spans="1:17" ht="16.5" customHeight="1">
      <c r="A222" s="773" t="str">
        <f t="shared" si="25"/>
        <v/>
      </c>
      <c r="B222" s="296"/>
      <c r="C222" s="757"/>
      <c r="D222" s="758"/>
      <c r="E222" s="842"/>
      <c r="F222" s="843"/>
      <c r="G222" s="843"/>
      <c r="H222" s="833">
        <f t="shared" si="23"/>
        <v>0.36</v>
      </c>
      <c r="I222" s="256"/>
      <c r="J222" s="742">
        <f t="shared" si="26"/>
        <v>0</v>
      </c>
      <c r="K222" s="742" t="e">
        <f t="shared" si="24"/>
        <v>#DIV/0!</v>
      </c>
      <c r="L222" s="658"/>
      <c r="M222" s="658"/>
      <c r="O222" s="737"/>
      <c r="P222" s="737"/>
      <c r="Q222" s="737"/>
    </row>
    <row r="223" spans="1:17" ht="16.5" customHeight="1">
      <c r="A223" s="773" t="str">
        <f t="shared" si="25"/>
        <v/>
      </c>
      <c r="B223" s="296"/>
      <c r="C223" s="757"/>
      <c r="D223" s="758"/>
      <c r="E223" s="842"/>
      <c r="F223" s="843"/>
      <c r="G223" s="843"/>
      <c r="H223" s="833">
        <f t="shared" si="23"/>
        <v>0.36</v>
      </c>
      <c r="I223" s="256"/>
      <c r="J223" s="742">
        <f t="shared" si="26"/>
        <v>0</v>
      </c>
      <c r="K223" s="742" t="e">
        <f t="shared" si="24"/>
        <v>#DIV/0!</v>
      </c>
      <c r="L223" s="658"/>
      <c r="M223" s="658"/>
      <c r="O223" s="737"/>
      <c r="P223" s="737"/>
      <c r="Q223" s="737"/>
    </row>
    <row r="224" spans="1:17" ht="16.5" customHeight="1">
      <c r="A224" s="773" t="str">
        <f t="shared" si="25"/>
        <v/>
      </c>
      <c r="B224" s="296"/>
      <c r="C224" s="757"/>
      <c r="D224" s="758"/>
      <c r="E224" s="842"/>
      <c r="F224" s="843"/>
      <c r="G224" s="843"/>
      <c r="H224" s="833">
        <f t="shared" si="23"/>
        <v>0.36</v>
      </c>
      <c r="I224" s="256"/>
      <c r="J224" s="742">
        <f t="shared" si="26"/>
        <v>0</v>
      </c>
      <c r="K224" s="742" t="e">
        <f t="shared" si="24"/>
        <v>#DIV/0!</v>
      </c>
      <c r="L224" s="658"/>
      <c r="M224" s="658"/>
      <c r="O224" s="737"/>
      <c r="P224" s="737"/>
      <c r="Q224" s="737"/>
    </row>
    <row r="225" spans="1:17" ht="16.5" customHeight="1">
      <c r="A225" s="773" t="str">
        <f t="shared" si="25"/>
        <v/>
      </c>
      <c r="B225" s="296"/>
      <c r="C225" s="757"/>
      <c r="D225" s="758"/>
      <c r="E225" s="842"/>
      <c r="F225" s="843"/>
      <c r="G225" s="843"/>
      <c r="H225" s="833">
        <f t="shared" si="23"/>
        <v>0.36</v>
      </c>
      <c r="I225" s="256"/>
      <c r="J225" s="742">
        <f t="shared" si="26"/>
        <v>0</v>
      </c>
      <c r="K225" s="742" t="e">
        <f t="shared" si="24"/>
        <v>#DIV/0!</v>
      </c>
      <c r="L225" s="658"/>
      <c r="M225" s="658"/>
      <c r="O225" s="737"/>
      <c r="P225" s="737"/>
      <c r="Q225" s="737"/>
    </row>
    <row r="226" spans="1:17" ht="16.5" customHeight="1">
      <c r="A226" s="773" t="str">
        <f t="shared" si="25"/>
        <v/>
      </c>
      <c r="B226" s="296"/>
      <c r="C226" s="757"/>
      <c r="D226" s="758"/>
      <c r="E226" s="842"/>
      <c r="F226" s="843"/>
      <c r="G226" s="843"/>
      <c r="H226" s="833">
        <f t="shared" si="23"/>
        <v>0.36</v>
      </c>
      <c r="I226" s="256"/>
      <c r="J226" s="742">
        <f t="shared" si="26"/>
        <v>0</v>
      </c>
      <c r="K226" s="742" t="e">
        <f t="shared" si="24"/>
        <v>#DIV/0!</v>
      </c>
      <c r="L226" s="658"/>
      <c r="M226" s="658"/>
      <c r="O226" s="737"/>
      <c r="P226" s="737"/>
      <c r="Q226" s="737"/>
    </row>
    <row r="227" spans="1:17" ht="16.5" customHeight="1">
      <c r="A227" s="773" t="str">
        <f t="shared" si="25"/>
        <v/>
      </c>
      <c r="B227" s="296"/>
      <c r="C227" s="757"/>
      <c r="D227" s="758"/>
      <c r="E227" s="842"/>
      <c r="F227" s="843"/>
      <c r="G227" s="843"/>
      <c r="H227" s="833">
        <f t="shared" si="23"/>
        <v>0.36</v>
      </c>
      <c r="I227" s="256"/>
      <c r="J227" s="742">
        <f t="shared" si="26"/>
        <v>0</v>
      </c>
      <c r="K227" s="742" t="e">
        <f t="shared" si="24"/>
        <v>#DIV/0!</v>
      </c>
      <c r="L227" s="658"/>
      <c r="M227" s="658"/>
      <c r="O227" s="737"/>
      <c r="P227" s="737"/>
      <c r="Q227" s="737"/>
    </row>
    <row r="228" spans="1:17" ht="16.5" customHeight="1">
      <c r="A228" s="773" t="str">
        <f t="shared" si="25"/>
        <v/>
      </c>
      <c r="B228" s="296"/>
      <c r="C228" s="757"/>
      <c r="D228" s="758"/>
      <c r="E228" s="842"/>
      <c r="F228" s="843"/>
      <c r="G228" s="843"/>
      <c r="H228" s="833">
        <f t="shared" si="23"/>
        <v>0.36</v>
      </c>
      <c r="I228" s="256"/>
      <c r="J228" s="742">
        <f t="shared" si="26"/>
        <v>0</v>
      </c>
      <c r="K228" s="742" t="e">
        <f t="shared" si="24"/>
        <v>#DIV/0!</v>
      </c>
      <c r="L228" s="658"/>
      <c r="M228" s="658"/>
      <c r="O228" s="737"/>
      <c r="P228" s="737"/>
      <c r="Q228" s="737"/>
    </row>
    <row r="229" spans="1:17" ht="16.5" customHeight="1">
      <c r="A229" s="773" t="str">
        <f t="shared" si="25"/>
        <v/>
      </c>
      <c r="B229" s="296"/>
      <c r="C229" s="757"/>
      <c r="D229" s="758"/>
      <c r="E229" s="842"/>
      <c r="F229" s="843"/>
      <c r="G229" s="843"/>
      <c r="H229" s="833">
        <f t="shared" si="23"/>
        <v>0.36</v>
      </c>
      <c r="I229" s="256"/>
      <c r="J229" s="742">
        <f t="shared" si="26"/>
        <v>0</v>
      </c>
      <c r="K229" s="742" t="e">
        <f t="shared" si="24"/>
        <v>#DIV/0!</v>
      </c>
      <c r="L229" s="658"/>
      <c r="M229" s="658"/>
      <c r="O229" s="737"/>
      <c r="P229" s="737"/>
      <c r="Q229" s="737"/>
    </row>
    <row r="230" spans="1:17" ht="16.5" customHeight="1">
      <c r="A230" s="773" t="str">
        <f t="shared" si="25"/>
        <v/>
      </c>
      <c r="B230" s="296"/>
      <c r="C230" s="757"/>
      <c r="D230" s="758"/>
      <c r="E230" s="842"/>
      <c r="F230" s="792"/>
      <c r="G230" s="792"/>
      <c r="H230" s="833">
        <f t="shared" si="23"/>
        <v>0.36</v>
      </c>
      <c r="I230" s="256"/>
      <c r="J230" s="742">
        <f t="shared" si="26"/>
        <v>0</v>
      </c>
      <c r="K230" s="742" t="e">
        <f t="shared" si="24"/>
        <v>#DIV/0!</v>
      </c>
      <c r="L230" s="658"/>
      <c r="M230" s="658"/>
      <c r="O230" s="737"/>
      <c r="P230" s="737"/>
      <c r="Q230" s="737"/>
    </row>
    <row r="231" spans="1:17" ht="16.5" customHeight="1">
      <c r="A231" s="773" t="str">
        <f t="shared" si="25"/>
        <v/>
      </c>
      <c r="B231" s="296"/>
      <c r="C231" s="757"/>
      <c r="D231" s="758"/>
      <c r="E231" s="842"/>
      <c r="F231" s="843"/>
      <c r="G231" s="843"/>
      <c r="H231" s="833">
        <f t="shared" si="23"/>
        <v>0.36</v>
      </c>
      <c r="I231" s="256"/>
      <c r="J231" s="742">
        <f t="shared" si="26"/>
        <v>0</v>
      </c>
      <c r="K231" s="742" t="e">
        <f t="shared" si="24"/>
        <v>#DIV/0!</v>
      </c>
      <c r="L231" s="658"/>
      <c r="M231" s="658"/>
      <c r="O231" s="737"/>
      <c r="P231" s="737"/>
      <c r="Q231" s="737"/>
    </row>
    <row r="232" spans="1:17" ht="16.5" customHeight="1">
      <c r="A232" s="773" t="str">
        <f t="shared" si="25"/>
        <v/>
      </c>
      <c r="B232" s="296"/>
      <c r="C232" s="757"/>
      <c r="D232" s="758"/>
      <c r="E232" s="842"/>
      <c r="F232" s="843"/>
      <c r="G232" s="843"/>
      <c r="H232" s="833">
        <f t="shared" si="23"/>
        <v>0.36</v>
      </c>
      <c r="I232" s="256"/>
      <c r="J232" s="742">
        <f t="shared" si="26"/>
        <v>0</v>
      </c>
      <c r="K232" s="742" t="e">
        <f t="shared" si="24"/>
        <v>#DIV/0!</v>
      </c>
      <c r="L232" s="658"/>
      <c r="M232" s="658"/>
      <c r="O232" s="737"/>
      <c r="P232" s="737"/>
      <c r="Q232" s="737"/>
    </row>
    <row r="233" spans="1:17" ht="16.5" customHeight="1">
      <c r="A233" s="773" t="str">
        <f t="shared" si="25"/>
        <v/>
      </c>
      <c r="B233" s="296"/>
      <c r="C233" s="757"/>
      <c r="D233" s="758"/>
      <c r="E233" s="842"/>
      <c r="F233" s="843"/>
      <c r="G233" s="843"/>
      <c r="H233" s="833">
        <f t="shared" si="23"/>
        <v>0.36</v>
      </c>
      <c r="I233" s="256"/>
      <c r="J233" s="742">
        <f t="shared" si="26"/>
        <v>0</v>
      </c>
      <c r="K233" s="742" t="e">
        <f t="shared" si="24"/>
        <v>#DIV/0!</v>
      </c>
      <c r="L233" s="658"/>
      <c r="M233" s="658"/>
      <c r="O233" s="737"/>
      <c r="P233" s="737"/>
      <c r="Q233" s="737"/>
    </row>
    <row r="234" spans="1:17" ht="16.5" customHeight="1">
      <c r="A234" s="773" t="str">
        <f t="shared" si="25"/>
        <v/>
      </c>
      <c r="B234" s="296"/>
      <c r="C234" s="757"/>
      <c r="D234" s="758"/>
      <c r="E234" s="842"/>
      <c r="F234" s="843"/>
      <c r="G234" s="843"/>
      <c r="H234" s="833">
        <f t="shared" si="23"/>
        <v>0.36</v>
      </c>
      <c r="I234" s="256"/>
      <c r="J234" s="742">
        <f t="shared" si="26"/>
        <v>0</v>
      </c>
      <c r="K234" s="742" t="e">
        <f t="shared" si="24"/>
        <v>#DIV/0!</v>
      </c>
      <c r="L234" s="658"/>
      <c r="M234" s="658"/>
      <c r="O234" s="737"/>
      <c r="P234" s="737"/>
      <c r="Q234" s="737"/>
    </row>
    <row r="235" spans="1:17" ht="16.5" customHeight="1">
      <c r="A235" s="773" t="str">
        <f t="shared" si="25"/>
        <v/>
      </c>
      <c r="B235" s="296"/>
      <c r="C235" s="757"/>
      <c r="D235" s="758"/>
      <c r="E235" s="842"/>
      <c r="F235" s="843"/>
      <c r="G235" s="843"/>
      <c r="H235" s="833">
        <f t="shared" si="23"/>
        <v>0.36</v>
      </c>
      <c r="I235" s="256"/>
      <c r="J235" s="742">
        <f t="shared" si="26"/>
        <v>0</v>
      </c>
      <c r="K235" s="742" t="e">
        <f t="shared" si="24"/>
        <v>#DIV/0!</v>
      </c>
      <c r="L235" s="658"/>
      <c r="M235" s="658"/>
      <c r="O235" s="737"/>
      <c r="P235" s="737"/>
      <c r="Q235" s="737"/>
    </row>
    <row r="236" spans="1:17" ht="16.5" customHeight="1">
      <c r="A236" s="773" t="str">
        <f t="shared" si="25"/>
        <v/>
      </c>
      <c r="B236" s="296"/>
      <c r="C236" s="757"/>
      <c r="D236" s="758"/>
      <c r="E236" s="842"/>
      <c r="F236" s="843"/>
      <c r="G236" s="843"/>
      <c r="H236" s="833">
        <f t="shared" si="23"/>
        <v>0.36</v>
      </c>
      <c r="I236" s="256"/>
      <c r="J236" s="742">
        <f t="shared" si="26"/>
        <v>0</v>
      </c>
      <c r="K236" s="742" t="e">
        <f t="shared" si="24"/>
        <v>#DIV/0!</v>
      </c>
      <c r="L236" s="658"/>
      <c r="M236" s="658"/>
      <c r="O236" s="737"/>
      <c r="P236" s="737"/>
      <c r="Q236" s="737"/>
    </row>
    <row r="237" spans="1:17" ht="16.5" customHeight="1">
      <c r="A237" s="773" t="str">
        <f t="shared" si="25"/>
        <v/>
      </c>
      <c r="B237" s="296"/>
      <c r="C237" s="757"/>
      <c r="D237" s="758"/>
      <c r="E237" s="842"/>
      <c r="F237" s="843"/>
      <c r="G237" s="843"/>
      <c r="H237" s="833">
        <f t="shared" si="23"/>
        <v>0.36</v>
      </c>
      <c r="I237" s="256"/>
      <c r="J237" s="742">
        <f t="shared" si="26"/>
        <v>0</v>
      </c>
      <c r="K237" s="742" t="e">
        <f t="shared" si="24"/>
        <v>#DIV/0!</v>
      </c>
      <c r="L237" s="658"/>
      <c r="M237" s="658"/>
      <c r="O237" s="737"/>
      <c r="P237" s="737"/>
      <c r="Q237" s="737"/>
    </row>
    <row r="238" spans="1:17" ht="16.5" customHeight="1">
      <c r="A238" s="773" t="str">
        <f t="shared" si="25"/>
        <v/>
      </c>
      <c r="B238" s="296"/>
      <c r="C238" s="757"/>
      <c r="D238" s="758"/>
      <c r="E238" s="842"/>
      <c r="F238" s="843"/>
      <c r="G238" s="843"/>
      <c r="H238" s="833">
        <f t="shared" si="23"/>
        <v>0.36</v>
      </c>
      <c r="I238" s="256"/>
      <c r="J238" s="742">
        <f t="shared" si="26"/>
        <v>0</v>
      </c>
      <c r="K238" s="742" t="e">
        <f t="shared" si="24"/>
        <v>#DIV/0!</v>
      </c>
      <c r="L238" s="658"/>
      <c r="M238" s="658"/>
      <c r="O238" s="737"/>
      <c r="P238" s="737"/>
      <c r="Q238" s="737"/>
    </row>
    <row r="239" spans="1:17" ht="16.5" customHeight="1">
      <c r="A239" s="773" t="str">
        <f t="shared" si="25"/>
        <v/>
      </c>
      <c r="B239" s="296"/>
      <c r="C239" s="757"/>
      <c r="D239" s="758"/>
      <c r="E239" s="842"/>
      <c r="F239" s="843"/>
      <c r="G239" s="843"/>
      <c r="H239" s="833">
        <f t="shared" si="23"/>
        <v>0.36</v>
      </c>
      <c r="I239" s="256"/>
      <c r="J239" s="742">
        <f t="shared" si="26"/>
        <v>0</v>
      </c>
      <c r="K239" s="742" t="e">
        <f t="shared" si="24"/>
        <v>#DIV/0!</v>
      </c>
      <c r="L239" s="658"/>
      <c r="M239" s="658"/>
      <c r="O239" s="737"/>
      <c r="P239" s="737"/>
      <c r="Q239" s="737"/>
    </row>
    <row r="240" spans="1:17" ht="16.5" customHeight="1">
      <c r="A240" s="773" t="str">
        <f t="shared" si="25"/>
        <v/>
      </c>
      <c r="B240" s="296"/>
      <c r="C240" s="757"/>
      <c r="D240" s="758"/>
      <c r="E240" s="842"/>
      <c r="F240" s="843"/>
      <c r="G240" s="843"/>
      <c r="H240" s="833">
        <f t="shared" si="23"/>
        <v>0.36</v>
      </c>
      <c r="I240" s="256"/>
      <c r="J240" s="742">
        <f t="shared" si="26"/>
        <v>0</v>
      </c>
      <c r="K240" s="742" t="e">
        <f t="shared" si="24"/>
        <v>#DIV/0!</v>
      </c>
      <c r="L240" s="658"/>
      <c r="M240" s="658"/>
      <c r="O240" s="737"/>
      <c r="P240" s="737"/>
      <c r="Q240" s="737"/>
    </row>
    <row r="241" spans="1:20" ht="16.5" customHeight="1">
      <c r="A241" s="773" t="str">
        <f t="shared" si="25"/>
        <v/>
      </c>
      <c r="B241" s="296"/>
      <c r="C241" s="757"/>
      <c r="D241" s="758"/>
      <c r="E241" s="842"/>
      <c r="F241" s="843"/>
      <c r="G241" s="843"/>
      <c r="H241" s="833">
        <f t="shared" si="23"/>
        <v>0.36</v>
      </c>
      <c r="I241" s="256"/>
      <c r="J241" s="742">
        <f t="shared" si="26"/>
        <v>0</v>
      </c>
      <c r="K241" s="742" t="e">
        <f t="shared" si="24"/>
        <v>#DIV/0!</v>
      </c>
      <c r="L241" s="658"/>
      <c r="M241" s="658"/>
      <c r="O241" s="737"/>
      <c r="P241" s="737"/>
      <c r="Q241" s="737"/>
    </row>
    <row r="242" spans="1:20" ht="16.5" customHeight="1">
      <c r="A242" s="773" t="str">
        <f t="shared" si="25"/>
        <v/>
      </c>
      <c r="B242" s="296"/>
      <c r="C242" s="757"/>
      <c r="D242" s="758"/>
      <c r="E242" s="842"/>
      <c r="F242" s="843"/>
      <c r="G242" s="843"/>
      <c r="H242" s="833">
        <f t="shared" si="23"/>
        <v>0.36</v>
      </c>
      <c r="I242" s="256"/>
      <c r="J242" s="742">
        <f t="shared" si="26"/>
        <v>0</v>
      </c>
      <c r="K242" s="742" t="e">
        <f t="shared" si="24"/>
        <v>#DIV/0!</v>
      </c>
      <c r="L242" s="658"/>
      <c r="M242" s="658"/>
      <c r="O242" s="737"/>
      <c r="P242" s="737"/>
      <c r="Q242" s="737"/>
    </row>
    <row r="243" spans="1:20" ht="16.5" customHeight="1">
      <c r="A243" s="773" t="str">
        <f t="shared" si="25"/>
        <v/>
      </c>
      <c r="B243" s="296"/>
      <c r="C243" s="757"/>
      <c r="D243" s="758"/>
      <c r="E243" s="842"/>
      <c r="F243" s="843"/>
      <c r="G243" s="843"/>
      <c r="H243" s="833">
        <f t="shared" si="23"/>
        <v>0.36</v>
      </c>
      <c r="I243" s="256"/>
      <c r="J243" s="742">
        <f t="shared" si="26"/>
        <v>0</v>
      </c>
      <c r="K243" s="742" t="e">
        <f t="shared" si="24"/>
        <v>#DIV/0!</v>
      </c>
      <c r="L243" s="658"/>
      <c r="M243" s="658"/>
      <c r="O243" s="737"/>
      <c r="P243" s="737"/>
      <c r="Q243" s="737"/>
    </row>
    <row r="244" spans="1:20" s="762" customFormat="1" ht="16.5" customHeight="1">
      <c r="A244" s="828"/>
      <c r="B244" s="768"/>
      <c r="C244" s="757"/>
      <c r="D244" s="758"/>
      <c r="E244" s="844"/>
      <c r="F244" s="845"/>
      <c r="G244" s="846"/>
      <c r="H244" s="769"/>
      <c r="I244" s="770"/>
      <c r="J244" s="770"/>
      <c r="K244" s="769"/>
      <c r="L244" s="658"/>
      <c r="M244" s="658"/>
      <c r="N244" s="737"/>
      <c r="O244" s="737"/>
      <c r="P244" s="737"/>
      <c r="Q244" s="737"/>
      <c r="R244" s="737"/>
    </row>
    <row r="245" spans="1:20" s="738" customFormat="1" ht="16.5" customHeight="1">
      <c r="A245" s="743"/>
      <c r="B245" s="744" t="s">
        <v>243</v>
      </c>
      <c r="C245" s="763"/>
      <c r="D245" s="764"/>
      <c r="E245" s="831"/>
      <c r="F245" s="831"/>
      <c r="G245" s="831"/>
      <c r="H245" s="834">
        <f>ROUND(SUM(H139:H244),2)</f>
        <v>37.799999999999997</v>
      </c>
      <c r="I245" s="529">
        <f>ROUND(SUM(I139:I244),2)</f>
        <v>0</v>
      </c>
      <c r="J245" s="529">
        <f>ROUND(SUM(J139:J244),2)</f>
        <v>0</v>
      </c>
      <c r="K245" s="529"/>
      <c r="L245" s="752"/>
      <c r="N245" s="737"/>
      <c r="O245" s="737"/>
      <c r="P245" s="737"/>
      <c r="Q245" s="737"/>
      <c r="R245" s="737"/>
    </row>
    <row r="246" spans="1:20" s="738" customFormat="1">
      <c r="A246" s="745"/>
      <c r="B246" s="746"/>
      <c r="C246" s="765"/>
      <c r="D246" s="766"/>
      <c r="E246" s="835"/>
      <c r="F246" s="835"/>
      <c r="G246" s="835"/>
      <c r="H246" s="739"/>
      <c r="I246" s="739"/>
      <c r="J246" s="739"/>
      <c r="K246" s="739"/>
      <c r="L246" s="752"/>
      <c r="N246" s="737"/>
      <c r="O246" s="737"/>
      <c r="P246" s="737"/>
      <c r="Q246" s="737"/>
      <c r="R246" s="737"/>
    </row>
    <row r="247" spans="1:2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7:A138"/>
    <mergeCell ref="B137:B138"/>
    <mergeCell ref="C137:C138"/>
    <mergeCell ref="D137:D138"/>
    <mergeCell ref="I137:I138"/>
    <mergeCell ref="R137:R138"/>
    <mergeCell ref="N207:Q207"/>
    <mergeCell ref="N40:Q40"/>
    <mergeCell ref="E4:H4"/>
    <mergeCell ref="J4:J5"/>
    <mergeCell ref="E137:H137"/>
    <mergeCell ref="J137:J138"/>
    <mergeCell ref="N137:N138"/>
    <mergeCell ref="O137:O138"/>
    <mergeCell ref="P137:P138"/>
    <mergeCell ref="Q137:Q138"/>
    <mergeCell ref="K137:K138"/>
    <mergeCell ref="K4:K5"/>
    <mergeCell ref="N4:N5"/>
    <mergeCell ref="O4:O5"/>
    <mergeCell ref="P4:P5"/>
  </mergeCells>
  <dataValidations count="1">
    <dataValidation type="list" allowBlank="1" showInputMessage="1" showErrorMessage="1" sqref="N4:N5 N137:N138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80" customWidth="1"/>
    <col min="2" max="2" width="15.7109375" style="580" customWidth="1"/>
    <col min="3" max="3" width="16.85546875" style="580" customWidth="1"/>
    <col min="4" max="9" width="15.28515625" style="580" customWidth="1"/>
    <col min="10" max="10" width="10.140625" style="580" customWidth="1"/>
    <col min="11" max="11" width="5.85546875" style="580" customWidth="1"/>
    <col min="12" max="16384" width="10.28515625" style="580"/>
  </cols>
  <sheetData>
    <row r="1" spans="1:11" s="446" customFormat="1" ht="19.5" customHeight="1">
      <c r="A1" s="567" t="str">
        <f>TH!A1</f>
        <v>Đơn vị: CÔNG TY TNHH SX TM KIM DUNG PHÁT</v>
      </c>
      <c r="B1" s="567"/>
      <c r="D1" s="447"/>
      <c r="E1" s="447"/>
      <c r="F1" s="447"/>
      <c r="G1" s="1101" t="s">
        <v>244</v>
      </c>
      <c r="H1" s="1101"/>
      <c r="I1" s="1101"/>
      <c r="J1" s="448"/>
      <c r="K1" s="449"/>
    </row>
    <row r="2" spans="1:11" s="446" customFormat="1" ht="19.5" customHeight="1">
      <c r="A2" s="616" t="str">
        <f>TH!A2</f>
        <v>Địa chỉ: 1A227/1 Ấp 1, Phạm Văn Hai, Bình Chánh, TPHCM</v>
      </c>
      <c r="B2" s="567"/>
      <c r="D2" s="450"/>
      <c r="E2" s="450"/>
      <c r="F2" s="450"/>
      <c r="G2" s="1102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2"/>
      <c r="I2" s="1102"/>
      <c r="J2" s="448"/>
      <c r="K2" s="438">
        <v>1</v>
      </c>
    </row>
    <row r="3" spans="1:11" s="446" customFormat="1" ht="15">
      <c r="A3" s="568"/>
      <c r="B3" s="569"/>
      <c r="C3" s="450"/>
      <c r="D3" s="450"/>
      <c r="E3" s="450"/>
      <c r="F3" s="450"/>
      <c r="G3" s="1102"/>
      <c r="H3" s="1102"/>
      <c r="I3" s="1102"/>
      <c r="J3" s="448"/>
    </row>
    <row r="4" spans="1:11" s="571" customFormat="1" ht="17.25" customHeight="1">
      <c r="A4" s="1103" t="s">
        <v>245</v>
      </c>
      <c r="B4" s="1103"/>
      <c r="C4" s="1103"/>
      <c r="D4" s="1103"/>
      <c r="E4" s="1103"/>
      <c r="F4" s="1103"/>
      <c r="G4" s="1103"/>
      <c r="H4" s="1103"/>
      <c r="I4" s="1103"/>
      <c r="J4" s="570"/>
    </row>
    <row r="5" spans="1:11" s="572" customFormat="1" ht="17.25" customHeight="1">
      <c r="B5" s="573"/>
      <c r="C5" s="574" t="s">
        <v>337</v>
      </c>
      <c r="D5" s="573" t="str">
        <f>IF($K$2&lt;10,"0"&amp;$K$2&amp;"  năm 2011",$K$2&amp;"  năm 2011")</f>
        <v>01  năm 2011</v>
      </c>
      <c r="E5" s="573"/>
      <c r="F5" s="573"/>
      <c r="G5" s="573"/>
      <c r="H5" s="573"/>
      <c r="I5" s="573"/>
      <c r="J5" s="573"/>
    </row>
    <row r="6" spans="1:11" s="572" customFormat="1" ht="17.25" customHeight="1">
      <c r="B6" s="575"/>
      <c r="C6" s="1104" t="s">
        <v>246</v>
      </c>
      <c r="D6" s="1104"/>
      <c r="E6" s="1105"/>
      <c r="F6" s="1105"/>
      <c r="G6" s="1105"/>
      <c r="H6" s="692"/>
      <c r="I6" s="575"/>
      <c r="J6" s="573"/>
    </row>
    <row r="7" spans="1:11" s="577" customFormat="1" ht="9.75" customHeight="1">
      <c r="A7" s="576"/>
      <c r="B7" s="576"/>
      <c r="C7" s="576"/>
      <c r="D7" s="576"/>
      <c r="E7" s="576"/>
      <c r="F7" s="576"/>
      <c r="G7" s="576"/>
      <c r="H7" s="576"/>
      <c r="I7" s="576"/>
      <c r="J7" s="575"/>
    </row>
    <row r="8" spans="1:11" s="452" customFormat="1" ht="17.25" customHeight="1">
      <c r="A8" s="1106" t="s">
        <v>247</v>
      </c>
      <c r="B8" s="1107" t="s">
        <v>248</v>
      </c>
      <c r="C8" s="1107" t="s">
        <v>249</v>
      </c>
      <c r="D8" s="1107"/>
      <c r="E8" s="1107"/>
      <c r="F8" s="1107"/>
      <c r="G8" s="1107"/>
      <c r="H8" s="1107"/>
      <c r="I8" s="1107"/>
      <c r="J8" s="451"/>
    </row>
    <row r="9" spans="1:11" s="455" customFormat="1" ht="35.25" customHeight="1">
      <c r="A9" s="1106"/>
      <c r="B9" s="1107"/>
      <c r="C9" s="453" t="s">
        <v>373</v>
      </c>
      <c r="D9" s="453" t="s">
        <v>250</v>
      </c>
      <c r="E9" s="453" t="s">
        <v>374</v>
      </c>
      <c r="F9" s="453" t="s">
        <v>375</v>
      </c>
      <c r="G9" s="453" t="s">
        <v>251</v>
      </c>
      <c r="H9" s="453" t="s">
        <v>252</v>
      </c>
      <c r="I9" s="453" t="s">
        <v>376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2" customFormat="1" ht="24.75" customHeight="1">
      <c r="A11" s="578" t="s">
        <v>253</v>
      </c>
      <c r="B11" s="579">
        <f>ROUND(SUM(C11:I11),0)</f>
        <v>0</v>
      </c>
      <c r="C11" s="579">
        <v>0</v>
      </c>
      <c r="D11" s="579">
        <v>0</v>
      </c>
      <c r="E11" s="579">
        <v>0</v>
      </c>
      <c r="F11" s="579">
        <v>0</v>
      </c>
      <c r="G11" s="579">
        <v>0</v>
      </c>
      <c r="H11" s="579">
        <v>0</v>
      </c>
      <c r="I11" s="579">
        <v>0</v>
      </c>
      <c r="J11" s="573"/>
    </row>
    <row r="12" spans="1:11" s="572" customFormat="1" ht="24.75" customHeight="1">
      <c r="A12" s="578" t="s">
        <v>254</v>
      </c>
      <c r="B12" s="579">
        <f ca="1">ROUND(SUM(C12:I12),0)</f>
        <v>0</v>
      </c>
      <c r="C12" s="579">
        <f ca="1">IF(ISNA(VLOOKUP($E6,INDIRECT("DSSP"&amp;$K$2),5,0)),0,VLOOKUP($E6,INDIRECT("DSSP"&amp;$K$2),5,0))</f>
        <v>0</v>
      </c>
      <c r="D12" s="579">
        <f ca="1">IF(ISNA(VLOOKUP($E6,INDIRECT("DSSP"&amp;$K$2),6,0)),0,VLOOKUP($E6,INDIRECT("DSSP"&amp;$K$2),6,0))</f>
        <v>0</v>
      </c>
      <c r="E12" s="579">
        <f ca="1">IF(ISNA(VLOOKUP($E6,INDIRECT("DSSP"&amp;$K$2),7,0)),0,VLOOKUP($E6,INDIRECT("DSSP"&amp;$K$2),7,0))</f>
        <v>0</v>
      </c>
      <c r="F12" s="579">
        <f ca="1">IF(ISNA(VLOOKUP($E6,INDIRECT("DSSP"&amp;$K$2),8,0)),0,VLOOKUP($E6,INDIRECT("DSSP"&amp;$K$2),8,0))</f>
        <v>0</v>
      </c>
      <c r="G12" s="579">
        <f ca="1">IF(ISNA(VLOOKUP($E6,INDIRECT("DSSP"&amp;$K$2),9,0)),0,VLOOKUP($E6,INDIRECT("DSSP"&amp;$K$2),9,0))</f>
        <v>0</v>
      </c>
      <c r="H12" s="579">
        <f ca="1">IF(ISNA(VLOOKUP($E6,INDIRECT("DSSP"&amp;$K$2),10,0)),0,VLOOKUP($E6,INDIRECT("DSSP"&amp;$K$2),10,0))</f>
        <v>0</v>
      </c>
      <c r="I12" s="579">
        <f ca="1">IF(ISNA(VLOOKUP($E6,INDIRECT("DSSP"&amp;$K$2),11,0)),0,VLOOKUP($E6,INDIRECT("DSSP"&amp;$K$2),11,0))</f>
        <v>0</v>
      </c>
      <c r="J12" s="573"/>
    </row>
    <row r="13" spans="1:11" s="572" customFormat="1" ht="24.75" customHeight="1">
      <c r="A13" s="578" t="s">
        <v>255</v>
      </c>
      <c r="B13" s="579">
        <f ca="1">ROUND(IF(ISNA(VLOOKUP($E6,INDIRECT("DSSP"&amp;$K$2),13,0)),0,VLOOKUP($E6,INDIRECT("DSSP"&amp;$K$2),13,0)),0)</f>
        <v>0</v>
      </c>
      <c r="C13" s="579">
        <f t="shared" ref="C13:I13" ca="1" si="0">C12</f>
        <v>0</v>
      </c>
      <c r="D13" s="579">
        <f t="shared" ca="1" si="0"/>
        <v>0</v>
      </c>
      <c r="E13" s="579">
        <f t="shared" ca="1" si="0"/>
        <v>0</v>
      </c>
      <c r="F13" s="579"/>
      <c r="G13" s="579">
        <f t="shared" ca="1" si="0"/>
        <v>0</v>
      </c>
      <c r="H13" s="579"/>
      <c r="I13" s="579">
        <f t="shared" ca="1" si="0"/>
        <v>0</v>
      </c>
      <c r="J13" s="573"/>
    </row>
    <row r="14" spans="1:11" s="572" customFormat="1" ht="24.75" customHeight="1">
      <c r="A14" s="578" t="s">
        <v>256</v>
      </c>
      <c r="B14" s="579">
        <f ca="1">B12-B13</f>
        <v>0</v>
      </c>
      <c r="C14" s="579">
        <f t="shared" ref="C14:I14" ca="1" si="1">C12-C13</f>
        <v>0</v>
      </c>
      <c r="D14" s="579">
        <f t="shared" ca="1" si="1"/>
        <v>0</v>
      </c>
      <c r="E14" s="579">
        <f t="shared" ca="1" si="1"/>
        <v>0</v>
      </c>
      <c r="F14" s="579"/>
      <c r="G14" s="579">
        <f t="shared" ca="1" si="1"/>
        <v>0</v>
      </c>
      <c r="H14" s="579"/>
      <c r="I14" s="579">
        <f t="shared" ca="1" si="1"/>
        <v>0</v>
      </c>
      <c r="J14" s="573"/>
    </row>
    <row r="15" spans="1:11" s="572" customFormat="1" ht="15">
      <c r="B15" s="573"/>
      <c r="C15" s="573"/>
      <c r="D15" s="573"/>
      <c r="E15" s="573"/>
      <c r="F15" s="573"/>
      <c r="G15" s="573"/>
      <c r="H15" s="573"/>
      <c r="I15" s="573"/>
      <c r="J15" s="573"/>
    </row>
    <row r="16" spans="1:11" s="572" customFormat="1" ht="15">
      <c r="B16" s="573"/>
      <c r="C16" s="573"/>
      <c r="D16" s="573"/>
      <c r="E16" s="1100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0"/>
      <c r="G16" s="1100"/>
      <c r="H16" s="1100"/>
      <c r="I16" s="1100"/>
      <c r="J16" s="573"/>
    </row>
    <row r="17" spans="2:10" s="572" customFormat="1" ht="15">
      <c r="B17" s="458" t="s">
        <v>257</v>
      </c>
      <c r="C17" s="573"/>
      <c r="D17" s="573"/>
      <c r="E17" s="1100" t="s">
        <v>12</v>
      </c>
      <c r="F17" s="1100"/>
      <c r="G17" s="1100"/>
      <c r="H17" s="1100"/>
      <c r="I17" s="1100"/>
      <c r="J17" s="573"/>
    </row>
    <row r="19" spans="2:10" ht="15">
      <c r="E19" s="581"/>
      <c r="F19" s="581"/>
    </row>
    <row r="26" spans="2:10">
      <c r="B26" s="55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6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7" t="str">
        <f>TH!A1</f>
        <v>Đơn vị: CÔNG TY TNHH SX TM KIM DUNG PHÁT</v>
      </c>
      <c r="L1" s="1109" t="s">
        <v>278</v>
      </c>
      <c r="M1" s="1109"/>
      <c r="N1" s="1109"/>
      <c r="O1" s="1109"/>
    </row>
    <row r="2" spans="1:18" ht="15" customHeight="1">
      <c r="A2" s="489" t="str">
        <f>TH!A2</f>
        <v>Địa chỉ: 1A227/1 Ấp 1, Phạm Văn Hai, Bình Chánh, TPHCM</v>
      </c>
      <c r="L2" s="1108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08"/>
      <c r="N2" s="1108"/>
      <c r="O2" s="1108"/>
    </row>
    <row r="3" spans="1:18" ht="15" customHeight="1">
      <c r="L3" s="1108"/>
      <c r="M3" s="1108"/>
      <c r="N3" s="1108"/>
      <c r="O3" s="1108"/>
    </row>
    <row r="5" spans="1:18" s="495" customFormat="1" ht="24" customHeight="1">
      <c r="A5" s="1110" t="s">
        <v>279</v>
      </c>
      <c r="B5" s="1110"/>
      <c r="C5" s="1110"/>
      <c r="D5" s="1110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0"/>
      <c r="P5" s="557"/>
    </row>
    <row r="6" spans="1:18" s="495" customFormat="1" ht="21" customHeight="1">
      <c r="A6" s="1111" t="s">
        <v>377</v>
      </c>
      <c r="B6" s="1111"/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1111"/>
      <c r="N6" s="1111"/>
      <c r="O6" s="1111"/>
      <c r="P6" s="557"/>
    </row>
    <row r="7" spans="1:18" s="495" customFormat="1" ht="21" customHeight="1">
      <c r="A7" s="1112" t="s">
        <v>321</v>
      </c>
      <c r="B7" s="1112"/>
      <c r="C7" s="1112"/>
      <c r="D7" s="1112"/>
      <c r="E7" s="1112"/>
      <c r="F7" s="1112"/>
      <c r="G7" s="1112"/>
      <c r="H7" s="1112"/>
      <c r="I7" s="1112"/>
      <c r="J7" s="1112"/>
      <c r="K7" s="1112"/>
      <c r="L7" s="1112"/>
      <c r="M7" s="1112"/>
      <c r="N7" s="1112"/>
      <c r="O7" s="1112"/>
      <c r="P7" s="557"/>
    </row>
    <row r="8" spans="1:18">
      <c r="D8" s="491"/>
    </row>
    <row r="9" spans="1:18" s="496" customFormat="1" ht="24" customHeight="1">
      <c r="A9" s="1113" t="s">
        <v>232</v>
      </c>
      <c r="B9" s="1116" t="s">
        <v>280</v>
      </c>
      <c r="C9" s="1117"/>
      <c r="D9" s="1117"/>
      <c r="E9" s="1117"/>
      <c r="F9" s="1117"/>
      <c r="G9" s="1117"/>
      <c r="H9" s="1118"/>
      <c r="I9" s="1116" t="s">
        <v>281</v>
      </c>
      <c r="J9" s="1117"/>
      <c r="K9" s="1117"/>
      <c r="L9" s="1118"/>
      <c r="M9" s="1119" t="s">
        <v>282</v>
      </c>
      <c r="N9" s="1119"/>
      <c r="O9" s="1119"/>
      <c r="P9" s="558"/>
    </row>
    <row r="10" spans="1:18" s="496" customFormat="1" ht="24" customHeight="1">
      <c r="A10" s="1114"/>
      <c r="B10" s="1116" t="s">
        <v>283</v>
      </c>
      <c r="C10" s="1118"/>
      <c r="D10" s="1113" t="s">
        <v>284</v>
      </c>
      <c r="E10" s="1113" t="s">
        <v>285</v>
      </c>
      <c r="F10" s="1113" t="s">
        <v>286</v>
      </c>
      <c r="G10" s="1113" t="s">
        <v>287</v>
      </c>
      <c r="H10" s="1113" t="s">
        <v>288</v>
      </c>
      <c r="I10" s="1116" t="s">
        <v>289</v>
      </c>
      <c r="J10" s="1118"/>
      <c r="K10" s="1120" t="s">
        <v>290</v>
      </c>
      <c r="L10" s="1113" t="s">
        <v>291</v>
      </c>
      <c r="M10" s="1119" t="s">
        <v>283</v>
      </c>
      <c r="N10" s="1119"/>
      <c r="O10" s="1119" t="s">
        <v>292</v>
      </c>
      <c r="P10" s="558"/>
    </row>
    <row r="11" spans="1:18" s="496" customFormat="1" ht="55.5" customHeight="1">
      <c r="A11" s="1115"/>
      <c r="B11" s="497" t="s">
        <v>293</v>
      </c>
      <c r="C11" s="497" t="s">
        <v>233</v>
      </c>
      <c r="D11" s="1115"/>
      <c r="E11" s="1115"/>
      <c r="F11" s="1115"/>
      <c r="G11" s="1115"/>
      <c r="H11" s="1115"/>
      <c r="I11" s="497" t="s">
        <v>294</v>
      </c>
      <c r="J11" s="497" t="s">
        <v>295</v>
      </c>
      <c r="K11" s="1121"/>
      <c r="L11" s="1115"/>
      <c r="M11" s="497" t="s">
        <v>15</v>
      </c>
      <c r="N11" s="497" t="s">
        <v>233</v>
      </c>
      <c r="O11" s="1119"/>
      <c r="P11" s="558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9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60"/>
      <c r="H13" s="527"/>
      <c r="I13" s="527"/>
      <c r="J13" s="527"/>
      <c r="K13" s="527"/>
      <c r="L13" s="8"/>
      <c r="M13" s="520"/>
      <c r="N13" s="520"/>
      <c r="O13" s="181"/>
      <c r="P13" s="559" t="str">
        <f>IF(D13='THE-TS'!$D$11,"x","")</f>
        <v/>
      </c>
    </row>
    <row r="14" spans="1:18" ht="21.75" customHeight="1">
      <c r="A14" s="521">
        <v>1</v>
      </c>
      <c r="B14" s="531" t="s">
        <v>363</v>
      </c>
      <c r="C14" s="501">
        <v>40682</v>
      </c>
      <c r="D14" s="209" t="s">
        <v>358</v>
      </c>
      <c r="E14" s="444" t="s">
        <v>300</v>
      </c>
      <c r="F14" s="530" t="s">
        <v>380</v>
      </c>
      <c r="G14" s="560" t="s">
        <v>365</v>
      </c>
      <c r="H14" s="256">
        <v>18000000</v>
      </c>
      <c r="I14" s="256">
        <v>5</v>
      </c>
      <c r="J14" s="8">
        <v>2100000</v>
      </c>
      <c r="K14" s="8"/>
      <c r="L14" s="8">
        <f t="shared" ref="L14:L16" si="0">K14+J14</f>
        <v>2100000</v>
      </c>
      <c r="M14" s="517"/>
      <c r="N14" s="444"/>
      <c r="O14" s="181"/>
      <c r="P14" s="559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364</v>
      </c>
      <c r="C15" s="501">
        <v>40686</v>
      </c>
      <c r="D15" s="209" t="s">
        <v>359</v>
      </c>
      <c r="E15" s="444" t="s">
        <v>300</v>
      </c>
      <c r="F15" s="530" t="s">
        <v>380</v>
      </c>
      <c r="G15" s="560" t="s">
        <v>366</v>
      </c>
      <c r="H15" s="256">
        <v>27000000</v>
      </c>
      <c r="I15" s="256">
        <v>5</v>
      </c>
      <c r="J15" s="8">
        <v>3150000</v>
      </c>
      <c r="K15" s="8"/>
      <c r="L15" s="8">
        <f t="shared" si="0"/>
        <v>3150000</v>
      </c>
      <c r="M15" s="517"/>
      <c r="N15" s="444"/>
      <c r="O15" s="181"/>
      <c r="P15" s="559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40710</v>
      </c>
      <c r="D16" s="209" t="s">
        <v>361</v>
      </c>
      <c r="E16" s="444" t="s">
        <v>300</v>
      </c>
      <c r="F16" s="530" t="s">
        <v>381</v>
      </c>
      <c r="G16" s="560" t="s">
        <v>367</v>
      </c>
      <c r="H16" s="256">
        <v>320000000</v>
      </c>
      <c r="I16" s="256">
        <v>5</v>
      </c>
      <c r="J16" s="8">
        <v>32000000</v>
      </c>
      <c r="K16" s="8"/>
      <c r="L16" s="8">
        <f t="shared" si="0"/>
        <v>32000000</v>
      </c>
      <c r="M16" s="517"/>
      <c r="N16" s="181"/>
      <c r="O16" s="181"/>
      <c r="P16" s="559" t="str">
        <f>IF(D16='THE-TS'!$D$11,"x","")</f>
        <v/>
      </c>
      <c r="Q16" s="292"/>
      <c r="R16" s="292"/>
    </row>
    <row r="17" spans="1:18" ht="21.75" customHeight="1">
      <c r="A17" s="502"/>
      <c r="B17" s="523"/>
      <c r="C17" s="524"/>
      <c r="D17" s="525"/>
      <c r="E17" s="503"/>
      <c r="F17" s="524"/>
      <c r="G17" s="523"/>
      <c r="H17" s="528"/>
      <c r="I17" s="528"/>
      <c r="J17" s="299"/>
      <c r="K17" s="299"/>
      <c r="L17" s="299"/>
      <c r="M17" s="503"/>
      <c r="N17" s="503"/>
      <c r="O17" s="503"/>
      <c r="P17" s="559" t="str">
        <f>IF(D17='THE-TS'!$D$11,"x","")</f>
        <v/>
      </c>
      <c r="R17" s="518"/>
    </row>
    <row r="18" spans="1:18" s="506" customFormat="1" ht="21.75" customHeight="1">
      <c r="A18" s="504"/>
      <c r="B18" s="505"/>
      <c r="C18" s="504"/>
      <c r="D18" s="504" t="s">
        <v>301</v>
      </c>
      <c r="E18" s="504" t="s">
        <v>19</v>
      </c>
      <c r="F18" s="504" t="s">
        <v>19</v>
      </c>
      <c r="G18" s="504" t="s">
        <v>19</v>
      </c>
      <c r="H18" s="529">
        <f>SUM(H13:H17)</f>
        <v>365000000</v>
      </c>
      <c r="I18" s="529"/>
      <c r="J18" s="529">
        <f>SUM(J13:J17)</f>
        <v>37250000</v>
      </c>
      <c r="K18" s="529">
        <f>SUM(K13:K17)</f>
        <v>0</v>
      </c>
      <c r="L18" s="529">
        <f>SUM(L13:L17)</f>
        <v>37250000</v>
      </c>
      <c r="M18" s="565" t="s">
        <v>19</v>
      </c>
      <c r="N18" s="565" t="s">
        <v>19</v>
      </c>
      <c r="O18" s="565" t="s">
        <v>19</v>
      </c>
      <c r="P18" s="559" t="str">
        <f>IF(D18='THE-TS'!$D$11,"x","")</f>
        <v/>
      </c>
    </row>
    <row r="19" spans="1:18" ht="6.75" customHeight="1">
      <c r="A19" s="445"/>
      <c r="B19" s="445"/>
      <c r="C19" s="507"/>
      <c r="D19" s="445"/>
      <c r="E19" s="507"/>
      <c r="F19" s="507"/>
      <c r="G19" s="507"/>
      <c r="H19" s="445"/>
      <c r="I19" s="445"/>
      <c r="J19" s="445"/>
      <c r="K19" s="508"/>
      <c r="L19" s="445"/>
      <c r="M19" s="445"/>
      <c r="N19" s="445"/>
      <c r="O19" s="445"/>
      <c r="P19" s="559" t="str">
        <f>IF(D19='THE-TS'!$D$11,"x","")</f>
        <v/>
      </c>
    </row>
    <row r="20" spans="1:18" ht="13.5" customHeight="1">
      <c r="A20" s="445"/>
      <c r="B20" s="445"/>
      <c r="C20" s="507"/>
      <c r="D20" s="445" t="s">
        <v>302</v>
      </c>
      <c r="E20" s="445"/>
      <c r="F20" s="507"/>
      <c r="G20" s="445"/>
      <c r="H20" s="492"/>
      <c r="I20" s="492"/>
      <c r="J20" s="566"/>
      <c r="L20" s="492"/>
      <c r="M20" s="445"/>
      <c r="N20" s="445"/>
      <c r="O20" s="445"/>
      <c r="P20" s="559" t="str">
        <f>IF(D20='THE-TS'!$D$11,"x","")</f>
        <v/>
      </c>
    </row>
    <row r="21" spans="1:18" ht="13.5" customHeight="1">
      <c r="A21" s="445"/>
      <c r="B21" s="445"/>
      <c r="C21" s="507"/>
      <c r="D21" s="445" t="s">
        <v>379</v>
      </c>
      <c r="E21" s="445"/>
      <c r="F21" s="507"/>
      <c r="G21" s="445"/>
      <c r="H21" s="518"/>
      <c r="I21" s="445"/>
      <c r="J21" s="526"/>
      <c r="K21" s="508"/>
      <c r="L21" s="445"/>
      <c r="M21" s="445"/>
      <c r="N21" s="445"/>
      <c r="O21" s="445"/>
      <c r="P21" s="559" t="str">
        <f>IF(D21='THE-TS'!$D$11,"x","")</f>
        <v/>
      </c>
    </row>
    <row r="22" spans="1:18" ht="13.5" customHeight="1">
      <c r="K22" s="509"/>
      <c r="L22" s="494" t="s">
        <v>378</v>
      </c>
      <c r="P22" s="559" t="str">
        <f>IF(D22='THE-TS'!$D$11,"x","")</f>
        <v/>
      </c>
    </row>
    <row r="23" spans="1:18" ht="13.5" customHeight="1">
      <c r="B23" s="491"/>
      <c r="D23" s="491" t="s">
        <v>11</v>
      </c>
      <c r="F23" s="491" t="s">
        <v>303</v>
      </c>
      <c r="I23" s="510"/>
      <c r="K23" s="507"/>
      <c r="L23" s="507" t="s">
        <v>109</v>
      </c>
      <c r="P23" s="559" t="str">
        <f>IF(D23='THE-TS'!$D$11,"x","")</f>
        <v/>
      </c>
    </row>
    <row r="24" spans="1:18" ht="13.5" customHeight="1">
      <c r="B24" s="491"/>
      <c r="D24" s="491"/>
      <c r="P24" s="559" t="str">
        <f>IF(D24='THE-TS'!$D$11,"x","")</f>
        <v/>
      </c>
    </row>
    <row r="25" spans="1:18" ht="13.5" customHeight="1">
      <c r="H25" s="511"/>
      <c r="J25" s="511"/>
      <c r="L25" s="511"/>
      <c r="P25" s="559" t="str">
        <f>IF(D25='THE-TS'!$D$11,"x","")</f>
        <v/>
      </c>
    </row>
    <row r="26" spans="1:18" ht="13.5" customHeight="1">
      <c r="H26" s="512"/>
      <c r="P26" s="559" t="str">
        <f>IF(D26='THE-TS'!$D$11,"x","")</f>
        <v/>
      </c>
    </row>
    <row r="27" spans="1:18" ht="13.5" customHeight="1">
      <c r="H27" s="512"/>
      <c r="J27" s="511"/>
      <c r="P27" s="559" t="str">
        <f>IF(D27='THE-TS'!$D$11,"x","")</f>
        <v/>
      </c>
    </row>
    <row r="28" spans="1:18" ht="13.5" customHeight="1">
      <c r="H28" s="512"/>
      <c r="P28" s="559" t="str">
        <f>IF(D28='THE-TS'!$D$11,"x","")</f>
        <v/>
      </c>
    </row>
    <row r="29" spans="1:18" ht="13.5" customHeight="1">
      <c r="H29" s="512"/>
      <c r="P29" s="559" t="str">
        <f>IF(D29='THE-TS'!$D$11,"x","")</f>
        <v/>
      </c>
    </row>
    <row r="30" spans="1:18" s="513" customFormat="1" ht="13.5" customHeight="1">
      <c r="C30" s="514"/>
      <c r="D30" s="514"/>
      <c r="F30" s="514"/>
      <c r="H30" s="515"/>
      <c r="K30" s="516"/>
      <c r="P30" s="559"/>
    </row>
    <row r="31" spans="1:18" ht="13.5">
      <c r="P31" s="559" t="str">
        <f>IF(D31='THE-TS'!$D$11,"x","")</f>
        <v/>
      </c>
    </row>
    <row r="32" spans="1:18" ht="13.5" customHeight="1">
      <c r="H32" s="512"/>
      <c r="P32" s="559" t="str">
        <f>IF(D32='THE-TS'!$D$11,"x","")</f>
        <v/>
      </c>
    </row>
    <row r="33" spans="16:16" ht="13.5">
      <c r="P33" s="559" t="str">
        <f>IF(D33='THE-TS'!$D$11,"x","")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33" customWidth="1"/>
    <col min="2" max="2" width="10.140625" style="533" customWidth="1"/>
    <col min="3" max="3" width="11.5703125" style="533" customWidth="1"/>
    <col min="4" max="4" width="28.7109375" style="533" customWidth="1"/>
    <col min="5" max="5" width="13.28515625" style="533" customWidth="1"/>
    <col min="6" max="6" width="9.140625" style="533"/>
    <col min="7" max="7" width="14" style="533" customWidth="1"/>
    <col min="8" max="8" width="14.7109375" style="533" customWidth="1"/>
    <col min="9" max="10" width="9.140625" style="533"/>
    <col min="11" max="11" width="13.85546875" style="533" customWidth="1"/>
    <col min="12" max="16384" width="9.140625" style="533"/>
  </cols>
  <sheetData>
    <row r="1" spans="1:11" hidden="1"/>
    <row r="2" spans="1:11">
      <c r="A2" s="618" t="str">
        <f>TH!A1</f>
        <v>Đơn vị: CÔNG TY TNHH SX TM KIM DUNG PHÁT</v>
      </c>
      <c r="B2" s="532"/>
      <c r="C2" s="532"/>
      <c r="D2" s="532"/>
      <c r="E2" s="493"/>
      <c r="F2" s="1109" t="s">
        <v>304</v>
      </c>
      <c r="G2" s="1109"/>
      <c r="H2" s="1109"/>
    </row>
    <row r="3" spans="1:11">
      <c r="A3" s="549" t="str">
        <f>TH!A2</f>
        <v>Địa chỉ: 1A227/1 Ấp 1, Phạm Văn Hai, Bình Chánh, TPHCM</v>
      </c>
      <c r="B3" s="532"/>
      <c r="C3" s="532"/>
      <c r="D3" s="532"/>
      <c r="E3" s="494"/>
      <c r="F3" s="110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08"/>
      <c r="H3" s="1108"/>
    </row>
    <row r="4" spans="1:11">
      <c r="A4" s="491"/>
      <c r="B4" s="491"/>
      <c r="C4" s="494"/>
      <c r="D4" s="494"/>
      <c r="E4" s="494"/>
      <c r="F4" s="1108"/>
      <c r="G4" s="1108"/>
      <c r="H4" s="1108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39" t="s">
        <v>305</v>
      </c>
      <c r="B6" s="1139"/>
      <c r="C6" s="1139"/>
      <c r="D6" s="1139"/>
      <c r="E6" s="1139"/>
      <c r="F6" s="1139"/>
      <c r="G6" s="1139"/>
      <c r="H6" s="1139"/>
    </row>
    <row r="7" spans="1:11" ht="17.25" customHeight="1" thickBot="1">
      <c r="A7" s="1138" t="str">
        <f ca="1" xml:space="preserve"> IF(ROWS($1:1)&gt;COUNT(Dong3),"","Số: "&amp;OFFSET('SO-TS'!$G$1,SMALL(Dong3,ROWS($1:1)),))</f>
        <v>Số: SX01/11</v>
      </c>
      <c r="B7" s="1138"/>
      <c r="C7" s="1138"/>
      <c r="D7" s="1138"/>
      <c r="E7" s="1138"/>
      <c r="F7" s="1138"/>
      <c r="G7" s="1138"/>
      <c r="H7" s="1138"/>
      <c r="J7" s="550" t="s">
        <v>322</v>
      </c>
      <c r="K7" s="551" t="s">
        <v>328</v>
      </c>
    </row>
    <row r="8" spans="1:11" ht="17.25" customHeight="1">
      <c r="A8" s="114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0"/>
      <c r="C8" s="1140"/>
      <c r="D8" s="1140"/>
      <c r="E8" s="1140"/>
      <c r="F8" s="1140"/>
      <c r="G8" s="1140"/>
      <c r="H8" s="1140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SX01/11  Ngày   19   tháng   5  năm   2011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358</v>
      </c>
      <c r="E11" s="490" t="str">
        <f ca="1" xml:space="preserve"> IF(ROWS($1:1)&gt;COUNT(Dong3),"","Số hiệu TSCĐ:   "&amp;OFFSET('SO-TS'!$G$1,SMALL(Dong3,ROWS($1:1)),))</f>
        <v>Số hiệu TSCĐ:   SX01/11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06/2011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2" t="s">
        <v>325</v>
      </c>
      <c r="B16" s="552"/>
      <c r="C16" s="552"/>
      <c r="D16" s="552"/>
      <c r="E16" s="552"/>
      <c r="F16" s="552"/>
      <c r="G16" s="552"/>
      <c r="H16" s="552"/>
    </row>
    <row r="17" spans="1:8" s="546" customFormat="1" ht="18" customHeight="1">
      <c r="A17" s="1124" t="s">
        <v>125</v>
      </c>
      <c r="B17" s="1125"/>
      <c r="C17" s="1128" t="s">
        <v>307</v>
      </c>
      <c r="D17" s="1129"/>
      <c r="E17" s="1130"/>
      <c r="F17" s="1131" t="s">
        <v>308</v>
      </c>
      <c r="G17" s="1132"/>
      <c r="H17" s="1133"/>
    </row>
    <row r="18" spans="1:8" s="546" customFormat="1" ht="28.5" customHeight="1">
      <c r="A18" s="1126"/>
      <c r="B18" s="1127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8" customFormat="1">
      <c r="A19" s="1134" t="s">
        <v>2</v>
      </c>
      <c r="B19" s="1135"/>
      <c r="C19" s="547" t="s">
        <v>3</v>
      </c>
      <c r="D19" s="547" t="s">
        <v>4</v>
      </c>
      <c r="E19" s="547">
        <v>1</v>
      </c>
      <c r="F19" s="547">
        <v>2</v>
      </c>
      <c r="G19" s="547">
        <v>3</v>
      </c>
      <c r="H19" s="547">
        <v>4</v>
      </c>
    </row>
    <row r="20" spans="1:8" ht="17.25" customHeight="1">
      <c r="A20" s="461">
        <f ca="1">IF(B20&lt;&gt;"",ROW()-19,"")</f>
        <v>1</v>
      </c>
      <c r="B20" s="534" t="str">
        <f ca="1" xml:space="preserve"> IF(ROWS($1:1)&gt;COUNT(Dong3),"",OFFSET('SO-TS'!G$1,SMALL(Dong3,ROWS($1:1)),))</f>
        <v>SX01/11</v>
      </c>
      <c r="C20" s="534" t="str">
        <f ca="1" xml:space="preserve"> IF(ROWS($1:1)&gt;COUNT(Dong3),"",OFFSET('SO-TS'!F$1,SMALL(Dong3,ROWS($1:1)),))</f>
        <v>06/2011</v>
      </c>
      <c r="D20" s="561" t="str">
        <f ca="1" xml:space="preserve"> IF(ROWS($1:1)&gt;COUNT(Dong3),"",OFFSET('SO-TS'!D$1,SMALL(Dong3,ROWS($1:1)),))</f>
        <v>Máy chap khe khổ 2m</v>
      </c>
      <c r="E20" s="562">
        <f ca="1" xml:space="preserve"> IF(ROWS($1:1)&gt;COUNT(Dong3),"",OFFSET('SO-TS'!H$1,SMALL(Dong3,ROWS($1:1)),))</f>
        <v>18000000</v>
      </c>
      <c r="F20" s="563" t="str">
        <f ca="1" xml:space="preserve"> IF(ROWS($1:1)&gt;COUNT(Dong3),"",RIGHT(OFFSET('SO-TS'!F$1,SMALL(Dong3,ROWS($1:1)),),4))</f>
        <v>2011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4">
        <f ca="1">G20</f>
        <v>2100000</v>
      </c>
    </row>
    <row r="21" spans="1:8" ht="17.25" customHeight="1">
      <c r="A21" s="461" t="str">
        <f t="shared" ref="A21" si="0">IF(B21&lt;&gt;"",ROW()-19,"")</f>
        <v/>
      </c>
      <c r="B21" s="502"/>
      <c r="C21" s="535"/>
      <c r="D21" s="535"/>
      <c r="E21" s="564"/>
      <c r="F21" s="563"/>
      <c r="G21" s="564"/>
      <c r="H21" s="564"/>
    </row>
    <row r="22" spans="1:8" ht="17.25" customHeight="1">
      <c r="A22" s="504"/>
      <c r="B22" s="504" t="s">
        <v>314</v>
      </c>
      <c r="C22" s="536"/>
      <c r="D22" s="536"/>
      <c r="E22" s="565">
        <f ca="1">SUM(E20:E21)</f>
        <v>18000000</v>
      </c>
      <c r="F22" s="536"/>
      <c r="G22" s="565">
        <f ca="1">SUM(G20:G21)</f>
        <v>2100000</v>
      </c>
      <c r="H22" s="565"/>
    </row>
    <row r="23" spans="1:8" ht="17.25" customHeight="1">
      <c r="A23" s="537"/>
      <c r="B23" s="537"/>
      <c r="C23" s="538"/>
      <c r="D23" s="538"/>
      <c r="E23" s="538"/>
      <c r="F23" s="538"/>
      <c r="G23" s="539"/>
      <c r="H23" s="539"/>
    </row>
    <row r="24" spans="1:8" ht="17.25" customHeight="1">
      <c r="A24" s="537"/>
      <c r="B24" s="537"/>
      <c r="C24" s="538"/>
      <c r="D24" s="538"/>
      <c r="E24" s="538"/>
      <c r="F24" s="538"/>
      <c r="G24" s="539"/>
      <c r="H24" s="539"/>
    </row>
    <row r="25" spans="1:8" ht="17.25" customHeight="1">
      <c r="A25" s="1136" t="s">
        <v>315</v>
      </c>
      <c r="B25" s="1136"/>
      <c r="C25" s="1136"/>
      <c r="D25" s="1136"/>
      <c r="E25" s="1136"/>
      <c r="F25" s="1136"/>
      <c r="G25" s="1136"/>
      <c r="H25" s="1136"/>
    </row>
    <row r="26" spans="1:8" ht="27" customHeight="1">
      <c r="A26" s="504" t="s">
        <v>35</v>
      </c>
      <c r="B26" s="1116" t="s">
        <v>316</v>
      </c>
      <c r="C26" s="1118"/>
      <c r="D26" s="536" t="s">
        <v>193</v>
      </c>
      <c r="E26" s="536" t="s">
        <v>317</v>
      </c>
      <c r="F26" s="536" t="s">
        <v>318</v>
      </c>
      <c r="G26" s="539"/>
      <c r="H26" s="539"/>
    </row>
    <row r="27" spans="1:8" ht="17.25" customHeight="1">
      <c r="A27" s="504" t="s">
        <v>2</v>
      </c>
      <c r="B27" s="504" t="s">
        <v>3</v>
      </c>
      <c r="C27" s="536"/>
      <c r="D27" s="536" t="s">
        <v>4</v>
      </c>
      <c r="E27" s="536">
        <v>1</v>
      </c>
      <c r="F27" s="536">
        <v>2</v>
      </c>
      <c r="G27" s="539"/>
      <c r="H27" s="539"/>
    </row>
    <row r="28" spans="1:8" ht="17.25" customHeight="1">
      <c r="A28" s="540"/>
      <c r="B28" s="540"/>
      <c r="C28" s="541"/>
      <c r="D28" s="541"/>
      <c r="E28" s="541"/>
      <c r="F28" s="541"/>
      <c r="G28" s="539"/>
      <c r="H28" s="539"/>
    </row>
    <row r="29" spans="1:8" ht="17.25" customHeight="1">
      <c r="A29" s="542"/>
      <c r="B29" s="542"/>
      <c r="C29" s="543"/>
      <c r="D29" s="543"/>
      <c r="E29" s="543"/>
      <c r="F29" s="543"/>
      <c r="G29" s="539"/>
      <c r="H29" s="539"/>
    </row>
    <row r="30" spans="1:8" ht="17.25" customHeight="1">
      <c r="A30" s="542"/>
      <c r="B30" s="542"/>
      <c r="C30" s="543"/>
      <c r="D30" s="543"/>
      <c r="E30" s="543"/>
      <c r="F30" s="543"/>
      <c r="G30" s="539"/>
      <c r="H30" s="539"/>
    </row>
    <row r="31" spans="1:8" ht="17.25" customHeight="1">
      <c r="A31" s="542"/>
      <c r="B31" s="542"/>
      <c r="C31" s="543"/>
      <c r="D31" s="543"/>
      <c r="E31" s="543"/>
      <c r="F31" s="543"/>
      <c r="G31" s="539"/>
      <c r="H31" s="539"/>
    </row>
    <row r="32" spans="1:8" ht="17.25" customHeight="1">
      <c r="A32" s="544"/>
      <c r="B32" s="544"/>
      <c r="C32" s="545"/>
      <c r="D32" s="545"/>
      <c r="E32" s="545"/>
      <c r="F32" s="545"/>
      <c r="G32" s="539"/>
      <c r="H32" s="539"/>
    </row>
    <row r="33" spans="1:8">
      <c r="A33" s="537"/>
      <c r="B33" s="537"/>
      <c r="C33" s="538"/>
      <c r="D33" s="538"/>
      <c r="E33" s="538"/>
      <c r="F33" s="538"/>
      <c r="G33" s="539"/>
      <c r="H33" s="539"/>
    </row>
    <row r="34" spans="1:8">
      <c r="A34" s="1137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37"/>
      <c r="C34" s="1137"/>
      <c r="D34" s="1137"/>
      <c r="E34" s="1137"/>
      <c r="F34" s="1137"/>
      <c r="G34" s="1137"/>
      <c r="H34" s="1137"/>
    </row>
    <row r="35" spans="1:8">
      <c r="A35" s="1137" t="str">
        <f ca="1" xml:space="preserve"> IF(ROWS($1:1)&gt;COUNT(Dong3),"","Lý do giảm:   "&amp;OFFSET('SO-TS'!$O$1,SMALL(Dong3,ROWS($1:1)),))</f>
        <v xml:space="preserve">Lý do giảm:   </v>
      </c>
      <c r="B35" s="1137"/>
      <c r="C35" s="1137"/>
      <c r="D35" s="1137"/>
      <c r="E35" s="1137"/>
      <c r="F35" s="1137"/>
      <c r="G35" s="1137"/>
      <c r="H35" s="1137"/>
    </row>
    <row r="36" spans="1:8">
      <c r="A36" s="514"/>
      <c r="B36" s="514"/>
      <c r="C36" s="509"/>
      <c r="D36" s="509"/>
      <c r="E36" s="1123" t="s">
        <v>368</v>
      </c>
      <c r="F36" s="1123"/>
      <c r="G36" s="1123"/>
      <c r="H36" s="1123"/>
    </row>
    <row r="37" spans="1:8">
      <c r="A37" s="1138" t="s">
        <v>319</v>
      </c>
      <c r="B37" s="1138"/>
      <c r="C37" s="1138" t="s">
        <v>12</v>
      </c>
      <c r="D37" s="1138"/>
      <c r="E37" s="1109" t="s">
        <v>109</v>
      </c>
      <c r="F37" s="1109"/>
      <c r="G37" s="1109"/>
      <c r="H37" s="1109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2" t="s">
        <v>151</v>
      </c>
      <c r="B45" s="1122"/>
      <c r="C45" s="509"/>
      <c r="D45" s="509"/>
      <c r="E45" s="1123" t="s">
        <v>103</v>
      </c>
      <c r="F45" s="1123"/>
      <c r="G45" s="1123"/>
      <c r="H45" s="1123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43.42578125" style="694" customWidth="1"/>
    <col min="5" max="5" width="7.140625" style="694" customWidth="1"/>
    <col min="6" max="6" width="14.140625" style="694" customWidth="1"/>
    <col min="7" max="7" width="14.85546875" style="694" customWidth="1"/>
    <col min="8" max="9" width="12" style="694" customWidth="1"/>
    <col min="10" max="10" width="12.85546875" style="694" customWidth="1"/>
    <col min="11" max="12" width="13.5703125" style="694" customWidth="1"/>
    <col min="13" max="13" width="12.7109375" style="694" customWidth="1"/>
    <col min="14" max="14" width="6.28515625" style="694" customWidth="1"/>
    <col min="15" max="15" width="8.42578125" style="694" customWidth="1"/>
    <col min="16" max="16384" width="9.140625" style="694"/>
  </cols>
  <sheetData>
    <row r="2" spans="1:16">
      <c r="A2" s="693" t="str">
        <f>'IN-NX'!A2</f>
        <v>Đơn vị: CÔNG TY TNHH SX TM KIM DUNG PHÁT</v>
      </c>
      <c r="F2" s="695"/>
      <c r="G2" s="695"/>
      <c r="H2" s="695"/>
      <c r="I2" s="695"/>
      <c r="J2" s="1142" t="s">
        <v>382</v>
      </c>
      <c r="K2" s="1142"/>
      <c r="L2" s="1142"/>
      <c r="M2" s="1142"/>
    </row>
    <row r="3" spans="1:16" ht="15" customHeight="1">
      <c r="A3" s="723" t="str">
        <f>'IN-NX'!A3</f>
        <v>Địa chỉ: 1A227/1 Ấp 1, Phạm Văn Hai, Bình Chánh, TPHCM</v>
      </c>
      <c r="J3" s="114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45"/>
      <c r="L3" s="1145"/>
      <c r="M3" s="1145"/>
    </row>
    <row r="4" spans="1:16">
      <c r="J4" s="1145"/>
      <c r="K4" s="1145"/>
      <c r="L4" s="1145"/>
      <c r="M4" s="1145"/>
    </row>
    <row r="5" spans="1:16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1143"/>
      <c r="N5" s="696" t="s">
        <v>165</v>
      </c>
      <c r="O5" s="627">
        <f>IF(O13="Quý I",1,IF(O13="Quý II",4,IF(O13="Quý III",7,IF(O13="Quý IV",10,""))))</f>
        <v>4</v>
      </c>
      <c r="P5" s="627">
        <f>IF(O13="Quý I",3,IF(O13="Quý II",6,IF(O13="Quý III",9,IF(O13="Quý IV",12,""))))</f>
        <v>6</v>
      </c>
    </row>
    <row r="6" spans="1:16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  <c r="M6" s="1144"/>
      <c r="N6" s="721"/>
    </row>
    <row r="7" spans="1:16">
      <c r="B7" s="697"/>
      <c r="C7" s="697"/>
      <c r="D7" s="697"/>
      <c r="E7" s="698" t="s">
        <v>385</v>
      </c>
      <c r="G7" s="697"/>
      <c r="H7" s="697"/>
      <c r="I7" s="697"/>
      <c r="J7" s="697"/>
      <c r="K7" s="697"/>
      <c r="L7" s="697"/>
      <c r="M7" s="697"/>
    </row>
    <row r="8" spans="1:16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  <c r="M8" s="697"/>
    </row>
    <row r="9" spans="1:16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  <c r="M9" s="699"/>
    </row>
    <row r="10" spans="1:16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  <c r="M10" s="1141"/>
    </row>
    <row r="11" spans="1:16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388</v>
      </c>
      <c r="G11" s="1147"/>
      <c r="H11" s="1147"/>
      <c r="I11" s="1147"/>
      <c r="J11" s="1147"/>
      <c r="K11" s="1147"/>
      <c r="L11" s="1147"/>
      <c r="M11" s="1147"/>
    </row>
    <row r="12" spans="1:16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  <c r="M12" s="1148"/>
    </row>
    <row r="13" spans="1:16" ht="31.5" customHeight="1" thickBot="1">
      <c r="A13" s="1146"/>
      <c r="B13" s="1148"/>
      <c r="C13" s="1148"/>
      <c r="D13" s="1146"/>
      <c r="E13" s="1146"/>
      <c r="F13" s="1148"/>
      <c r="G13" s="700" t="s">
        <v>373</v>
      </c>
      <c r="H13" s="700" t="s">
        <v>374</v>
      </c>
      <c r="I13" s="700" t="s">
        <v>375</v>
      </c>
      <c r="J13" s="700" t="s">
        <v>391</v>
      </c>
      <c r="K13" s="700" t="s">
        <v>392</v>
      </c>
      <c r="L13" s="700" t="s">
        <v>372</v>
      </c>
      <c r="M13" s="700" t="s">
        <v>393</v>
      </c>
      <c r="O13" s="722" t="s">
        <v>353</v>
      </c>
    </row>
    <row r="14" spans="1:16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/>
      <c r="J14" s="701">
        <v>4</v>
      </c>
      <c r="K14" s="701">
        <v>5</v>
      </c>
      <c r="L14" s="701"/>
      <c r="M14" s="701">
        <v>6</v>
      </c>
    </row>
    <row r="15" spans="1:16" ht="22.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  <c r="M15" s="704"/>
    </row>
    <row r="16" spans="1:16" ht="22.5" customHeight="1">
      <c r="A16" s="705" t="str">
        <f ca="1">IF(ROWS($1:1)&gt;COUNT(Dong9),"",OFFSET(TH!C$1,SMALL(Dong9,ROWS($1:1)),))</f>
        <v/>
      </c>
      <c r="B16" s="705" t="str">
        <f ca="1">IF(ROWS($1:1)&gt;COUNT(Dong9),"",OFFSET(TH!D$1,SMALL(Dong9,ROWS($1:1)),))</f>
        <v/>
      </c>
      <c r="C16" s="705" t="str">
        <f ca="1">IF(ROWS($1:1)&gt;COUNT(Dong9),"",OFFSET(TH!E$1,SMALL(Dong9,ROWS($1:1)),))</f>
        <v/>
      </c>
      <c r="D16" s="706" t="str">
        <f ca="1">IF(ROWS($1:1)&gt;COUNT(Dong9),"",OFFSET(TH!F$1,SMALL(Dong9,ROWS($1:1)),))</f>
        <v/>
      </c>
      <c r="E16" s="705" t="str">
        <f ca="1">IF(ROWS($1:1)&gt;COUNT(Dong9),"",OFFSET(TH!M$1,SMALL(Dong9,ROWS($1:1)),))</f>
        <v/>
      </c>
      <c r="F16" s="707" t="str">
        <f ca="1">IF(ROWS($1:1)&gt;COUNT(Dong9),"",OFFSET(TH!K$1,SMALL(Dong9,ROWS($1:1)),))</f>
        <v/>
      </c>
      <c r="G16" s="707">
        <f ca="1">IF($E16="1521",$F16,0)</f>
        <v>0</v>
      </c>
      <c r="H16" s="707">
        <f ca="1">IF($E16="1522",$F16,0)</f>
        <v>0</v>
      </c>
      <c r="I16" s="707">
        <f ca="1">IF(LEFT(D16,6)="Mực in",F16,0)</f>
        <v>0</v>
      </c>
      <c r="J16" s="707">
        <f ca="1">IF(OR(LEFT($E16,3)="334",LEFT($E16,3)="338"),$F16,0)</f>
        <v>0</v>
      </c>
      <c r="K16" s="707">
        <f ca="1">IF(OR(LEFT($E16,3)="331",AND(LEFT($E16,3)="111",$D16="Tiền điện")),$F16,0)</f>
        <v>0</v>
      </c>
      <c r="L16" s="707">
        <f ca="1">IF($E16="142",$F16,0)</f>
        <v>0</v>
      </c>
      <c r="M16" s="707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5" t="str">
        <f ca="1">IF(ROWS($1:2)&gt;COUNT(Dong9),"",OFFSET(TH!C$1,SMALL(Dong9,ROWS($1:2)),))</f>
        <v/>
      </c>
      <c r="B17" s="705" t="str">
        <f ca="1">IF(ROWS($1:2)&gt;COUNT(Dong9),"",OFFSET(TH!D$1,SMALL(Dong9,ROWS($1:2)),))</f>
        <v/>
      </c>
      <c r="C17" s="705" t="str">
        <f ca="1">IF(ROWS($1:2)&gt;COUNT(Dong9),"",OFFSET(TH!E$1,SMALL(Dong9,ROWS($1:2)),))</f>
        <v/>
      </c>
      <c r="D17" s="706" t="str">
        <f ca="1">IF(ROWS($1:2)&gt;COUNT(Dong9),"",OFFSET(TH!F$1,SMALL(Dong9,ROWS($1:2)),))</f>
        <v/>
      </c>
      <c r="E17" s="705" t="str">
        <f ca="1">IF(ROWS($1:2)&gt;COUNT(Dong9),"",OFFSET(TH!M$1,SMALL(Dong9,ROWS($1:2)),))</f>
        <v/>
      </c>
      <c r="F17" s="707" t="str">
        <f ca="1">IF(ROWS($1:2)&gt;COUNT(Dong9),"",OFFSET(TH!K$1,SMALL(Dong9,ROWS($1:2)),))</f>
        <v/>
      </c>
      <c r="G17" s="707">
        <f t="shared" ref="G17:G33" ca="1" si="0">IF($E17="1521",$F17,0)</f>
        <v>0</v>
      </c>
      <c r="H17" s="707">
        <f t="shared" ref="H17:H33" ca="1" si="1">IF($E17="1522",$F17,0)</f>
        <v>0</v>
      </c>
      <c r="I17" s="707">
        <f t="shared" ref="I17:I33" ca="1" si="2">IF(LEFT(D17,6)="Mực in",F17,0)</f>
        <v>0</v>
      </c>
      <c r="J17" s="707">
        <f t="shared" ref="J17:J33" ca="1" si="3">IF(OR(LEFT($E17,3)="334",LEFT($E17,3)="338"),$F17,0)</f>
        <v>0</v>
      </c>
      <c r="K17" s="707">
        <f t="shared" ref="K17:K33" ca="1" si="4">IF(OR(LEFT($E17,3)="331",AND(LEFT($E17,3)="111",$D17="Tiền điện")),$F17,0)</f>
        <v>0</v>
      </c>
      <c r="L17" s="707">
        <f t="shared" ref="L17:L33" ca="1" si="5">IF($E17="142",$F17,0)</f>
        <v>0</v>
      </c>
      <c r="M17" s="707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5" t="str">
        <f ca="1">IF(ROWS($1:3)&gt;COUNT(Dong9),"",OFFSET(TH!C$1,SMALL(Dong9,ROWS($1:3)),))</f>
        <v/>
      </c>
      <c r="B18" s="705" t="str">
        <f ca="1">IF(ROWS($1:3)&gt;COUNT(Dong9),"",OFFSET(TH!D$1,SMALL(Dong9,ROWS($1:3)),))</f>
        <v/>
      </c>
      <c r="C18" s="705" t="str">
        <f ca="1">IF(ROWS($1:3)&gt;COUNT(Dong9),"",OFFSET(TH!E$1,SMALL(Dong9,ROWS($1:3)),))</f>
        <v/>
      </c>
      <c r="D18" s="706" t="str">
        <f ca="1">IF(ROWS($1:3)&gt;COUNT(Dong9),"",OFFSET(TH!F$1,SMALL(Dong9,ROWS($1:3)),))</f>
        <v/>
      </c>
      <c r="E18" s="705" t="str">
        <f ca="1">IF(ROWS($1:3)&gt;COUNT(Dong9),"",OFFSET(TH!M$1,SMALL(Dong9,ROWS($1:3)),))</f>
        <v/>
      </c>
      <c r="F18" s="707" t="str">
        <f ca="1">IF(ROWS($1:3)&gt;COUNT(Dong9),"",OFFSET(TH!K$1,SMALL(Dong9,ROWS($1:3)),))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  <c r="K18" s="707">
        <f t="shared" ca="1" si="4"/>
        <v>0</v>
      </c>
      <c r="L18" s="707">
        <f t="shared" ca="1" si="5"/>
        <v>0</v>
      </c>
      <c r="M18" s="707">
        <f t="shared" ca="1" si="6"/>
        <v>0</v>
      </c>
    </row>
    <row r="19" spans="1:13" ht="22.5" customHeight="1">
      <c r="A19" s="705" t="str">
        <f ca="1">IF(ROWS($1:4)&gt;COUNT(Dong9),"",OFFSET(TH!C$1,SMALL(Dong9,ROWS($1:4)),))</f>
        <v/>
      </c>
      <c r="B19" s="705" t="str">
        <f ca="1">IF(ROWS($1:4)&gt;COUNT(Dong9),"",OFFSET(TH!D$1,SMALL(Dong9,ROWS($1:4)),))</f>
        <v/>
      </c>
      <c r="C19" s="705" t="str">
        <f ca="1">IF(ROWS($1:4)&gt;COUNT(Dong9),"",OFFSET(TH!E$1,SMALL(Dong9,ROWS($1:4)),))</f>
        <v/>
      </c>
      <c r="D19" s="706" t="str">
        <f ca="1">IF(ROWS($1:4)&gt;COUNT(Dong9),"",OFFSET(TH!F$1,SMALL(Dong9,ROWS($1:4)),))</f>
        <v/>
      </c>
      <c r="E19" s="705" t="str">
        <f ca="1">IF(ROWS($1:4)&gt;COUNT(Dong9),"",OFFSET(TH!M$1,SMALL(Dong9,ROWS($1:4)),))</f>
        <v/>
      </c>
      <c r="F19" s="707" t="str">
        <f ca="1">IF(ROWS($1:4)&gt;COUNT(Dong9),"",OFFSET(TH!K$1,SMALL(Dong9,ROWS($1:4)),))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  <c r="K19" s="707">
        <f t="shared" ca="1" si="4"/>
        <v>0</v>
      </c>
      <c r="L19" s="707">
        <f t="shared" ca="1" si="5"/>
        <v>0</v>
      </c>
      <c r="M19" s="707">
        <f t="shared" ca="1" si="6"/>
        <v>0</v>
      </c>
    </row>
    <row r="20" spans="1:13" ht="22.5" customHeight="1">
      <c r="A20" s="705" t="str">
        <f ca="1">IF(ROWS($1:5)&gt;COUNT(Dong9),"",OFFSET(TH!C$1,SMALL(Dong9,ROWS($1:5)),))</f>
        <v/>
      </c>
      <c r="B20" s="705" t="str">
        <f ca="1">IF(ROWS($1:5)&gt;COUNT(Dong9),"",OFFSET(TH!D$1,SMALL(Dong9,ROWS($1:5)),))</f>
        <v/>
      </c>
      <c r="C20" s="705" t="str">
        <f ca="1">IF(ROWS($1:5)&gt;COUNT(Dong9),"",OFFSET(TH!E$1,SMALL(Dong9,ROWS($1:5)),))</f>
        <v/>
      </c>
      <c r="D20" s="706" t="str">
        <f ca="1">IF(ROWS($1:5)&gt;COUNT(Dong9),"",OFFSET(TH!F$1,SMALL(Dong9,ROWS($1:5)),))</f>
        <v/>
      </c>
      <c r="E20" s="705" t="str">
        <f ca="1">IF(ROWS($1:5)&gt;COUNT(Dong9),"",OFFSET(TH!M$1,SMALL(Dong9,ROWS($1:5)),))</f>
        <v/>
      </c>
      <c r="F20" s="707" t="str">
        <f ca="1">IF(ROWS($1:5)&gt;COUNT(Dong9),"",OFFSET(TH!K$1,SMALL(Dong9,ROWS($1:5)),))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  <c r="K20" s="707">
        <f t="shared" ca="1" si="4"/>
        <v>0</v>
      </c>
      <c r="L20" s="707">
        <f t="shared" ca="1" si="5"/>
        <v>0</v>
      </c>
      <c r="M20" s="707">
        <f t="shared" ca="1" si="6"/>
        <v>0</v>
      </c>
    </row>
    <row r="21" spans="1:13" ht="22.5" customHeight="1">
      <c r="A21" s="705" t="str">
        <f ca="1">IF(ROWS($1:6)&gt;COUNT(Dong9),"",OFFSET(TH!C$1,SMALL(Dong9,ROWS($1:6)),))</f>
        <v/>
      </c>
      <c r="B21" s="705" t="str">
        <f ca="1">IF(ROWS($1:6)&gt;COUNT(Dong9),"",OFFSET(TH!D$1,SMALL(Dong9,ROWS($1:6)),))</f>
        <v/>
      </c>
      <c r="C21" s="705" t="str">
        <f ca="1">IF(ROWS($1:6)&gt;COUNT(Dong9),"",OFFSET(TH!E$1,SMALL(Dong9,ROWS($1:6)),))</f>
        <v/>
      </c>
      <c r="D21" s="706" t="str">
        <f ca="1">IF(ROWS($1:6)&gt;COUNT(Dong9),"",OFFSET(TH!F$1,SMALL(Dong9,ROWS($1:6)),))</f>
        <v/>
      </c>
      <c r="E21" s="705" t="str">
        <f ca="1">IF(ROWS($1:6)&gt;COUNT(Dong9),"",OFFSET(TH!M$1,SMALL(Dong9,ROWS($1:6)),))</f>
        <v/>
      </c>
      <c r="F21" s="707" t="str">
        <f ca="1">IF(ROWS($1:6)&gt;COUNT(Dong9),"",OFFSET(TH!K$1,SMALL(Dong9,ROWS($1:6)),))</f>
        <v/>
      </c>
      <c r="G21" s="707">
        <f t="shared" ca="1" si="0"/>
        <v>0</v>
      </c>
      <c r="H21" s="707">
        <f t="shared" ca="1" si="1"/>
        <v>0</v>
      </c>
      <c r="I21" s="707">
        <f t="shared" ca="1" si="2"/>
        <v>0</v>
      </c>
      <c r="J21" s="707">
        <f t="shared" ca="1" si="3"/>
        <v>0</v>
      </c>
      <c r="K21" s="707">
        <f t="shared" ca="1" si="4"/>
        <v>0</v>
      </c>
      <c r="L21" s="707">
        <f t="shared" ca="1" si="5"/>
        <v>0</v>
      </c>
      <c r="M21" s="707">
        <f t="shared" ca="1" si="6"/>
        <v>0</v>
      </c>
    </row>
    <row r="22" spans="1:13" ht="22.5" customHeight="1">
      <c r="A22" s="705" t="str">
        <f ca="1">IF(ROWS($1:7)&gt;COUNT(Dong9),"",OFFSET(TH!C$1,SMALL(Dong9,ROWS($1:7)),))</f>
        <v/>
      </c>
      <c r="B22" s="705" t="str">
        <f ca="1">IF(ROWS($1:7)&gt;COUNT(Dong9),"",OFFSET(TH!D$1,SMALL(Dong9,ROWS($1:7)),))</f>
        <v/>
      </c>
      <c r="C22" s="705" t="str">
        <f ca="1">IF(ROWS($1:7)&gt;COUNT(Dong9),"",OFFSET(TH!E$1,SMALL(Dong9,ROWS($1:7)),))</f>
        <v/>
      </c>
      <c r="D22" s="706" t="str">
        <f ca="1">IF(ROWS($1:7)&gt;COUNT(Dong9),"",OFFSET(TH!F$1,SMALL(Dong9,ROWS($1:7)),))</f>
        <v/>
      </c>
      <c r="E22" s="705" t="str">
        <f ca="1">IF(ROWS($1:7)&gt;COUNT(Dong9),"",OFFSET(TH!M$1,SMALL(Dong9,ROWS($1:7)),))</f>
        <v/>
      </c>
      <c r="F22" s="707" t="str">
        <f ca="1">IF(ROWS($1:7)&gt;COUNT(Dong9),"",OFFSET(TH!K$1,SMALL(Dong9,ROWS($1:7)),))</f>
        <v/>
      </c>
      <c r="G22" s="707">
        <f t="shared" ca="1" si="0"/>
        <v>0</v>
      </c>
      <c r="H22" s="707">
        <f t="shared" ca="1" si="1"/>
        <v>0</v>
      </c>
      <c r="I22" s="707">
        <f t="shared" ca="1" si="2"/>
        <v>0</v>
      </c>
      <c r="J22" s="707">
        <f t="shared" ca="1" si="3"/>
        <v>0</v>
      </c>
      <c r="K22" s="707">
        <f t="shared" ca="1" si="4"/>
        <v>0</v>
      </c>
      <c r="L22" s="707">
        <f t="shared" ca="1" si="5"/>
        <v>0</v>
      </c>
      <c r="M22" s="707">
        <f t="shared" ca="1" si="6"/>
        <v>0</v>
      </c>
    </row>
    <row r="23" spans="1:13" ht="22.5" customHeight="1">
      <c r="A23" s="705" t="str">
        <f ca="1">IF(ROWS($1:8)&gt;COUNT(Dong9),"",OFFSET(TH!C$1,SMALL(Dong9,ROWS($1:8)),))</f>
        <v/>
      </c>
      <c r="B23" s="705" t="str">
        <f ca="1">IF(ROWS($1:8)&gt;COUNT(Dong9),"",OFFSET(TH!D$1,SMALL(Dong9,ROWS($1:8)),))</f>
        <v/>
      </c>
      <c r="C23" s="705" t="str">
        <f ca="1">IF(ROWS($1:8)&gt;COUNT(Dong9),"",OFFSET(TH!E$1,SMALL(Dong9,ROWS($1:8)),))</f>
        <v/>
      </c>
      <c r="D23" s="706" t="str">
        <f ca="1">IF(ROWS($1:8)&gt;COUNT(Dong9),"",OFFSET(TH!F$1,SMALL(Dong9,ROWS($1:8)),))</f>
        <v/>
      </c>
      <c r="E23" s="705" t="str">
        <f ca="1">IF(ROWS($1:8)&gt;COUNT(Dong9),"",OFFSET(TH!M$1,SMALL(Dong9,ROWS($1:8)),))</f>
        <v/>
      </c>
      <c r="F23" s="707" t="str">
        <f ca="1">IF(ROWS($1:8)&gt;COUNT(Dong9),"",OFFSET(TH!K$1,SMALL(Dong9,ROWS($1:8)),))</f>
        <v/>
      </c>
      <c r="G23" s="707">
        <f t="shared" ca="1" si="0"/>
        <v>0</v>
      </c>
      <c r="H23" s="707">
        <f t="shared" ca="1" si="1"/>
        <v>0</v>
      </c>
      <c r="I23" s="707">
        <f t="shared" ca="1" si="2"/>
        <v>0</v>
      </c>
      <c r="J23" s="707">
        <f t="shared" ca="1" si="3"/>
        <v>0</v>
      </c>
      <c r="K23" s="707">
        <f t="shared" ca="1" si="4"/>
        <v>0</v>
      </c>
      <c r="L23" s="707">
        <f t="shared" ca="1" si="5"/>
        <v>0</v>
      </c>
      <c r="M23" s="707">
        <f t="shared" ca="1" si="6"/>
        <v>0</v>
      </c>
    </row>
    <row r="24" spans="1:13" ht="22.5" customHeight="1">
      <c r="A24" s="705" t="str">
        <f ca="1">IF(ROWS($1:9)&gt;COUNT(Dong9),"",OFFSET(TH!C$1,SMALL(Dong9,ROWS($1:9)),))</f>
        <v/>
      </c>
      <c r="B24" s="705" t="str">
        <f ca="1">IF(ROWS($1:9)&gt;COUNT(Dong9),"",OFFSET(TH!D$1,SMALL(Dong9,ROWS($1:9)),))</f>
        <v/>
      </c>
      <c r="C24" s="705" t="str">
        <f ca="1">IF(ROWS($1:9)&gt;COUNT(Dong9),"",OFFSET(TH!E$1,SMALL(Dong9,ROWS($1:9)),))</f>
        <v/>
      </c>
      <c r="D24" s="706" t="str">
        <f ca="1">IF(ROWS($1:9)&gt;COUNT(Dong9),"",OFFSET(TH!F$1,SMALL(Dong9,ROWS($1:9)),))</f>
        <v/>
      </c>
      <c r="E24" s="705" t="str">
        <f ca="1">IF(ROWS($1:9)&gt;COUNT(Dong9),"",OFFSET(TH!M$1,SMALL(Dong9,ROWS($1:9)),))</f>
        <v/>
      </c>
      <c r="F24" s="707" t="str">
        <f ca="1">IF(ROWS($1:9)&gt;COUNT(Dong9),"",OFFSET(TH!K$1,SMALL(Dong9,ROWS($1:9)),))</f>
        <v/>
      </c>
      <c r="G24" s="707">
        <f t="shared" ca="1" si="0"/>
        <v>0</v>
      </c>
      <c r="H24" s="707">
        <f t="shared" ca="1" si="1"/>
        <v>0</v>
      </c>
      <c r="I24" s="707">
        <f t="shared" ca="1" si="2"/>
        <v>0</v>
      </c>
      <c r="J24" s="707">
        <f t="shared" ca="1" si="3"/>
        <v>0</v>
      </c>
      <c r="K24" s="707">
        <f t="shared" ca="1" si="4"/>
        <v>0</v>
      </c>
      <c r="L24" s="707">
        <f t="shared" ca="1" si="5"/>
        <v>0</v>
      </c>
      <c r="M24" s="707">
        <f t="shared" ca="1" si="6"/>
        <v>0</v>
      </c>
    </row>
    <row r="25" spans="1:13" ht="22.5" customHeight="1">
      <c r="A25" s="705" t="str">
        <f ca="1">IF(ROWS($1:10)&gt;COUNT(Dong9),"",OFFSET(TH!C$1,SMALL(Dong9,ROWS($1:10)),))</f>
        <v/>
      </c>
      <c r="B25" s="705" t="str">
        <f ca="1">IF(ROWS($1:10)&gt;COUNT(Dong9),"",OFFSET(TH!D$1,SMALL(Dong9,ROWS($1:10)),))</f>
        <v/>
      </c>
      <c r="C25" s="705" t="str">
        <f ca="1">IF(ROWS($1:10)&gt;COUNT(Dong9),"",OFFSET(TH!E$1,SMALL(Dong9,ROWS($1:10)),))</f>
        <v/>
      </c>
      <c r="D25" s="706" t="str">
        <f ca="1">IF(ROWS($1:10)&gt;COUNT(Dong9),"",OFFSET(TH!F$1,SMALL(Dong9,ROWS($1:10)),))</f>
        <v/>
      </c>
      <c r="E25" s="705" t="str">
        <f ca="1">IF(ROWS($1:10)&gt;COUNT(Dong9),"",OFFSET(TH!M$1,SMALL(Dong9,ROWS($1:10)),))</f>
        <v/>
      </c>
      <c r="F25" s="707" t="str">
        <f ca="1">IF(ROWS($1:10)&gt;COUNT(Dong9),"",OFFSET(TH!K$1,SMALL(Dong9,ROWS($1:10)),))</f>
        <v/>
      </c>
      <c r="G25" s="707">
        <f t="shared" ca="1" si="0"/>
        <v>0</v>
      </c>
      <c r="H25" s="707">
        <f t="shared" ca="1" si="1"/>
        <v>0</v>
      </c>
      <c r="I25" s="707">
        <f t="shared" ca="1" si="2"/>
        <v>0</v>
      </c>
      <c r="J25" s="707">
        <f t="shared" ca="1" si="3"/>
        <v>0</v>
      </c>
      <c r="K25" s="707">
        <f t="shared" ca="1" si="4"/>
        <v>0</v>
      </c>
      <c r="L25" s="707">
        <f t="shared" ca="1" si="5"/>
        <v>0</v>
      </c>
      <c r="M25" s="707">
        <f t="shared" ca="1" si="6"/>
        <v>0</v>
      </c>
    </row>
    <row r="26" spans="1:13" ht="22.5" customHeight="1">
      <c r="A26" s="705" t="str">
        <f ca="1">IF(ROWS($1:11)&gt;COUNT(Dong9),"",OFFSET(TH!C$1,SMALL(Dong9,ROWS($1:11)),))</f>
        <v/>
      </c>
      <c r="B26" s="705" t="str">
        <f ca="1">IF(ROWS($1:11)&gt;COUNT(Dong9),"",OFFSET(TH!D$1,SMALL(Dong9,ROWS($1:11)),))</f>
        <v/>
      </c>
      <c r="C26" s="705" t="str">
        <f ca="1">IF(ROWS($1:11)&gt;COUNT(Dong9),"",OFFSET(TH!E$1,SMALL(Dong9,ROWS($1:11)),))</f>
        <v/>
      </c>
      <c r="D26" s="706" t="str">
        <f ca="1">IF(ROWS($1:11)&gt;COUNT(Dong9),"",OFFSET(TH!F$1,SMALL(Dong9,ROWS($1:11)),))</f>
        <v/>
      </c>
      <c r="E26" s="705" t="str">
        <f ca="1">IF(ROWS($1:11)&gt;COUNT(Dong9),"",OFFSET(TH!M$1,SMALL(Dong9,ROWS($1:11)),))</f>
        <v/>
      </c>
      <c r="F26" s="707" t="str">
        <f ca="1">IF(ROWS($1:11)&gt;COUNT(Dong9),"",OFFSET(TH!K$1,SMALL(Dong9,ROWS($1:11)),))</f>
        <v/>
      </c>
      <c r="G26" s="707">
        <f t="shared" ca="1" si="0"/>
        <v>0</v>
      </c>
      <c r="H26" s="707">
        <f t="shared" ca="1" si="1"/>
        <v>0</v>
      </c>
      <c r="I26" s="707">
        <f t="shared" ca="1" si="2"/>
        <v>0</v>
      </c>
      <c r="J26" s="707">
        <f t="shared" ca="1" si="3"/>
        <v>0</v>
      </c>
      <c r="K26" s="707">
        <f t="shared" ca="1" si="4"/>
        <v>0</v>
      </c>
      <c r="L26" s="707">
        <f t="shared" ca="1" si="5"/>
        <v>0</v>
      </c>
      <c r="M26" s="707">
        <f t="shared" ca="1" si="6"/>
        <v>0</v>
      </c>
    </row>
    <row r="27" spans="1:13" ht="22.5" customHeight="1">
      <c r="A27" s="705" t="str">
        <f ca="1">IF(ROWS($1:12)&gt;COUNT(Dong9),"",OFFSET(TH!C$1,SMALL(Dong9,ROWS($1:12)),))</f>
        <v/>
      </c>
      <c r="B27" s="705" t="str">
        <f ca="1">IF(ROWS($1:12)&gt;COUNT(Dong9),"",OFFSET(TH!D$1,SMALL(Dong9,ROWS($1:12)),))</f>
        <v/>
      </c>
      <c r="C27" s="705" t="str">
        <f ca="1">IF(ROWS($1:12)&gt;COUNT(Dong9),"",OFFSET(TH!E$1,SMALL(Dong9,ROWS($1:12)),))</f>
        <v/>
      </c>
      <c r="D27" s="706" t="str">
        <f ca="1">IF(ROWS($1:12)&gt;COUNT(Dong9),"",OFFSET(TH!F$1,SMALL(Dong9,ROWS($1:12)),))</f>
        <v/>
      </c>
      <c r="E27" s="705" t="str">
        <f ca="1">IF(ROWS($1:12)&gt;COUNT(Dong9),"",OFFSET(TH!M$1,SMALL(Dong9,ROWS($1:12)),))</f>
        <v/>
      </c>
      <c r="F27" s="707" t="str">
        <f ca="1">IF(ROWS($1:12)&gt;COUNT(Dong9),"",OFFSET(TH!K$1,SMALL(Dong9,ROWS($1:12)),))</f>
        <v/>
      </c>
      <c r="G27" s="707">
        <f t="shared" ca="1" si="0"/>
        <v>0</v>
      </c>
      <c r="H27" s="707">
        <f t="shared" ca="1" si="1"/>
        <v>0</v>
      </c>
      <c r="I27" s="707">
        <f t="shared" ca="1" si="2"/>
        <v>0</v>
      </c>
      <c r="J27" s="707">
        <f t="shared" ca="1" si="3"/>
        <v>0</v>
      </c>
      <c r="K27" s="707">
        <f t="shared" ca="1" si="4"/>
        <v>0</v>
      </c>
      <c r="L27" s="707">
        <f t="shared" ca="1" si="5"/>
        <v>0</v>
      </c>
      <c r="M27" s="707">
        <f t="shared" ca="1" si="6"/>
        <v>0</v>
      </c>
    </row>
    <row r="28" spans="1:13" ht="22.5" customHeight="1">
      <c r="A28" s="705" t="str">
        <f ca="1">IF(ROWS($1:13)&gt;COUNT(Dong9),"",OFFSET(TH!C$1,SMALL(Dong9,ROWS($1:13)),))</f>
        <v/>
      </c>
      <c r="B28" s="705" t="str">
        <f ca="1">IF(ROWS($1:13)&gt;COUNT(Dong9),"",OFFSET(TH!D$1,SMALL(Dong9,ROWS($1:13)),))</f>
        <v/>
      </c>
      <c r="C28" s="705" t="str">
        <f ca="1">IF(ROWS($1:13)&gt;COUNT(Dong9),"",OFFSET(TH!E$1,SMALL(Dong9,ROWS($1:13)),))</f>
        <v/>
      </c>
      <c r="D28" s="706" t="str">
        <f ca="1">IF(ROWS($1:13)&gt;COUNT(Dong9),"",OFFSET(TH!F$1,SMALL(Dong9,ROWS($1:13)),))</f>
        <v/>
      </c>
      <c r="E28" s="705" t="str">
        <f ca="1">IF(ROWS($1:13)&gt;COUNT(Dong9),"",OFFSET(TH!M$1,SMALL(Dong9,ROWS($1:13)),))</f>
        <v/>
      </c>
      <c r="F28" s="707" t="str">
        <f ca="1">IF(ROWS($1:13)&gt;COUNT(Dong9),"",OFFSET(TH!K$1,SMALL(Dong9,ROWS($1:13)),))</f>
        <v/>
      </c>
      <c r="G28" s="707">
        <f t="shared" ca="1" si="0"/>
        <v>0</v>
      </c>
      <c r="H28" s="707">
        <f t="shared" ca="1" si="1"/>
        <v>0</v>
      </c>
      <c r="I28" s="707">
        <f t="shared" ca="1" si="2"/>
        <v>0</v>
      </c>
      <c r="J28" s="707">
        <f t="shared" ca="1" si="3"/>
        <v>0</v>
      </c>
      <c r="K28" s="707">
        <f t="shared" ca="1" si="4"/>
        <v>0</v>
      </c>
      <c r="L28" s="707">
        <f t="shared" ca="1" si="5"/>
        <v>0</v>
      </c>
      <c r="M28" s="707">
        <f t="shared" ca="1" si="6"/>
        <v>0</v>
      </c>
    </row>
    <row r="29" spans="1:13" ht="22.5" customHeight="1">
      <c r="A29" s="705" t="str">
        <f ca="1">IF(ROWS($1:14)&gt;COUNT(Dong9),"",OFFSET(TH!C$1,SMALL(Dong9,ROWS($1:14)),))</f>
        <v/>
      </c>
      <c r="B29" s="705" t="str">
        <f ca="1">IF(ROWS($1:14)&gt;COUNT(Dong9),"",OFFSET(TH!D$1,SMALL(Dong9,ROWS($1:14)),))</f>
        <v/>
      </c>
      <c r="C29" s="705" t="str">
        <f ca="1">IF(ROWS($1:14)&gt;COUNT(Dong9),"",OFFSET(TH!E$1,SMALL(Dong9,ROWS($1:14)),))</f>
        <v/>
      </c>
      <c r="D29" s="706" t="str">
        <f ca="1">IF(ROWS($1:14)&gt;COUNT(Dong9),"",OFFSET(TH!F$1,SMALL(Dong9,ROWS($1:14)),))</f>
        <v/>
      </c>
      <c r="E29" s="705" t="str">
        <f ca="1">IF(ROWS($1:14)&gt;COUNT(Dong9),"",OFFSET(TH!M$1,SMALL(Dong9,ROWS($1:14)),))</f>
        <v/>
      </c>
      <c r="F29" s="707" t="str">
        <f ca="1">IF(ROWS($1:14)&gt;COUNT(Dong9),"",OFFSET(TH!K$1,SMALL(Dong9,ROWS($1:14)),))</f>
        <v/>
      </c>
      <c r="G29" s="707">
        <f t="shared" ca="1" si="0"/>
        <v>0</v>
      </c>
      <c r="H29" s="707">
        <f t="shared" ca="1" si="1"/>
        <v>0</v>
      </c>
      <c r="I29" s="707">
        <f t="shared" ca="1" si="2"/>
        <v>0</v>
      </c>
      <c r="J29" s="707">
        <f t="shared" ca="1" si="3"/>
        <v>0</v>
      </c>
      <c r="K29" s="707">
        <f t="shared" ca="1" si="4"/>
        <v>0</v>
      </c>
      <c r="L29" s="707">
        <f t="shared" ca="1" si="5"/>
        <v>0</v>
      </c>
      <c r="M29" s="707">
        <f t="shared" ca="1" si="6"/>
        <v>0</v>
      </c>
    </row>
    <row r="30" spans="1:13" ht="22.5" customHeight="1">
      <c r="A30" s="705" t="str">
        <f ca="1">IF(ROWS($1:15)&gt;COUNT(Dong9),"",OFFSET(TH!C$1,SMALL(Dong9,ROWS($1:15)),))</f>
        <v/>
      </c>
      <c r="B30" s="705" t="str">
        <f ca="1">IF(ROWS($1:15)&gt;COUNT(Dong9),"",OFFSET(TH!D$1,SMALL(Dong9,ROWS($1:15)),))</f>
        <v/>
      </c>
      <c r="C30" s="705" t="str">
        <f ca="1">IF(ROWS($1:15)&gt;COUNT(Dong9),"",OFFSET(TH!E$1,SMALL(Dong9,ROWS($1:15)),))</f>
        <v/>
      </c>
      <c r="D30" s="706" t="str">
        <f ca="1">IF(ROWS($1:15)&gt;COUNT(Dong9),"",OFFSET(TH!F$1,SMALL(Dong9,ROWS($1:15)),))</f>
        <v/>
      </c>
      <c r="E30" s="705" t="str">
        <f ca="1">IF(ROWS($1:15)&gt;COUNT(Dong9),"",OFFSET(TH!M$1,SMALL(Dong9,ROWS($1:15)),))</f>
        <v/>
      </c>
      <c r="F30" s="707" t="str">
        <f ca="1">IF(ROWS($1:15)&gt;COUNT(Dong9),"",OFFSET(TH!K$1,SMALL(Dong9,ROWS($1:15)),))</f>
        <v/>
      </c>
      <c r="G30" s="707">
        <f t="shared" ca="1" si="0"/>
        <v>0</v>
      </c>
      <c r="H30" s="707">
        <f t="shared" ca="1" si="1"/>
        <v>0</v>
      </c>
      <c r="I30" s="707">
        <f t="shared" ca="1" si="2"/>
        <v>0</v>
      </c>
      <c r="J30" s="707">
        <f t="shared" ca="1" si="3"/>
        <v>0</v>
      </c>
      <c r="K30" s="707">
        <f t="shared" ca="1" si="4"/>
        <v>0</v>
      </c>
      <c r="L30" s="707">
        <f t="shared" ca="1" si="5"/>
        <v>0</v>
      </c>
      <c r="M30" s="707">
        <f t="shared" ca="1" si="6"/>
        <v>0</v>
      </c>
    </row>
    <row r="31" spans="1:13" ht="22.5" customHeight="1">
      <c r="A31" s="705" t="str">
        <f ca="1">IF(ROWS($1:16)&gt;COUNT(Dong9),"",OFFSET(TH!C$1,SMALL(Dong9,ROWS($1:16)),))</f>
        <v/>
      </c>
      <c r="B31" s="705" t="str">
        <f ca="1">IF(ROWS($1:16)&gt;COUNT(Dong9),"",OFFSET(TH!D$1,SMALL(Dong9,ROWS($1:16)),))</f>
        <v/>
      </c>
      <c r="C31" s="705" t="str">
        <f ca="1">IF(ROWS($1:16)&gt;COUNT(Dong9),"",OFFSET(TH!E$1,SMALL(Dong9,ROWS($1:16)),))</f>
        <v/>
      </c>
      <c r="D31" s="706" t="str">
        <f ca="1">IF(ROWS($1:16)&gt;COUNT(Dong9),"",OFFSET(TH!F$1,SMALL(Dong9,ROWS($1:16)),))</f>
        <v/>
      </c>
      <c r="E31" s="705" t="str">
        <f ca="1">IF(ROWS($1:16)&gt;COUNT(Dong9),"",OFFSET(TH!M$1,SMALL(Dong9,ROWS($1:16)),))</f>
        <v/>
      </c>
      <c r="F31" s="707" t="str">
        <f ca="1">IF(ROWS($1:16)&gt;COUNT(Dong9),"",OFFSET(TH!K$1,SMALL(Dong9,ROWS($1:16)),))</f>
        <v/>
      </c>
      <c r="G31" s="707">
        <f t="shared" ca="1" si="0"/>
        <v>0</v>
      </c>
      <c r="H31" s="707">
        <f t="shared" ca="1" si="1"/>
        <v>0</v>
      </c>
      <c r="I31" s="707">
        <f t="shared" ca="1" si="2"/>
        <v>0</v>
      </c>
      <c r="J31" s="707">
        <f t="shared" ca="1" si="3"/>
        <v>0</v>
      </c>
      <c r="K31" s="707">
        <f t="shared" ca="1" si="4"/>
        <v>0</v>
      </c>
      <c r="L31" s="707">
        <f t="shared" ca="1" si="5"/>
        <v>0</v>
      </c>
      <c r="M31" s="707">
        <f t="shared" ca="1" si="6"/>
        <v>0</v>
      </c>
    </row>
    <row r="32" spans="1:13" ht="22.5" customHeight="1">
      <c r="A32" s="705" t="str">
        <f ca="1">IF(ROWS($1:17)&gt;COUNT(Dong9),"",OFFSET(TH!C$1,SMALL(Dong9,ROWS($1:17)),))</f>
        <v/>
      </c>
      <c r="B32" s="705" t="str">
        <f ca="1">IF(ROWS($1:17)&gt;COUNT(Dong9),"",OFFSET(TH!D$1,SMALL(Dong9,ROWS($1:17)),))</f>
        <v/>
      </c>
      <c r="C32" s="705" t="str">
        <f ca="1">IF(ROWS($1:17)&gt;COUNT(Dong9),"",OFFSET(TH!E$1,SMALL(Dong9,ROWS($1:17)),))</f>
        <v/>
      </c>
      <c r="D32" s="706" t="str">
        <f ca="1">IF(ROWS($1:17)&gt;COUNT(Dong9),"",OFFSET(TH!F$1,SMALL(Dong9,ROWS($1:17)),))</f>
        <v/>
      </c>
      <c r="E32" s="705" t="str">
        <f ca="1">IF(ROWS($1:17)&gt;COUNT(Dong9),"",OFFSET(TH!M$1,SMALL(Dong9,ROWS($1:17)),))</f>
        <v/>
      </c>
      <c r="F32" s="707" t="str">
        <f ca="1">IF(ROWS($1:17)&gt;COUNT(Dong9),"",OFFSET(TH!K$1,SMALL(Dong9,ROWS($1:17)),))</f>
        <v/>
      </c>
      <c r="G32" s="707">
        <f t="shared" ca="1" si="0"/>
        <v>0</v>
      </c>
      <c r="H32" s="707">
        <f t="shared" ca="1" si="1"/>
        <v>0</v>
      </c>
      <c r="I32" s="707">
        <f t="shared" ca="1" si="2"/>
        <v>0</v>
      </c>
      <c r="J32" s="707">
        <f t="shared" ca="1" si="3"/>
        <v>0</v>
      </c>
      <c r="K32" s="707">
        <f t="shared" ca="1" si="4"/>
        <v>0</v>
      </c>
      <c r="L32" s="707">
        <f t="shared" ca="1" si="5"/>
        <v>0</v>
      </c>
      <c r="M32" s="707">
        <f t="shared" ca="1" si="6"/>
        <v>0</v>
      </c>
    </row>
    <row r="33" spans="1:13" ht="22.5" customHeight="1">
      <c r="A33" s="705" t="str">
        <f ca="1">IF(ROWS($1:18)&gt;COUNT(Dong9),"",OFFSET(TH!C$1,SMALL(Dong9,ROWS($1:18)),))</f>
        <v/>
      </c>
      <c r="B33" s="705" t="str">
        <f ca="1">IF(ROWS($1:18)&gt;COUNT(Dong9),"",OFFSET(TH!D$1,SMALL(Dong9,ROWS($1:18)),))</f>
        <v/>
      </c>
      <c r="C33" s="705" t="str">
        <f ca="1">IF(ROWS($1:18)&gt;COUNT(Dong9),"",OFFSET(TH!E$1,SMALL(Dong9,ROWS($1:18)),))</f>
        <v/>
      </c>
      <c r="D33" s="706" t="str">
        <f ca="1">IF(ROWS($1:18)&gt;COUNT(Dong9),"",OFFSET(TH!F$1,SMALL(Dong9,ROWS($1:18)),))</f>
        <v/>
      </c>
      <c r="E33" s="705" t="str">
        <f ca="1">IF(ROWS($1:18)&gt;COUNT(Dong9),"",OFFSET(TH!M$1,SMALL(Dong9,ROWS($1:18)),))</f>
        <v/>
      </c>
      <c r="F33" s="707" t="str">
        <f ca="1">IF(ROWS($1:18)&gt;COUNT(Dong9),"",OFFSET(TH!K$1,SMALL(Dong9,ROWS($1:18)),))</f>
        <v/>
      </c>
      <c r="G33" s="707">
        <f t="shared" ca="1" si="0"/>
        <v>0</v>
      </c>
      <c r="H33" s="707">
        <f t="shared" ca="1" si="1"/>
        <v>0</v>
      </c>
      <c r="I33" s="707">
        <f t="shared" ca="1" si="2"/>
        <v>0</v>
      </c>
      <c r="J33" s="707">
        <f t="shared" ca="1" si="3"/>
        <v>0</v>
      </c>
      <c r="K33" s="707">
        <f t="shared" ca="1" si="4"/>
        <v>0</v>
      </c>
      <c r="L33" s="707">
        <f t="shared" ca="1" si="5"/>
        <v>0</v>
      </c>
      <c r="M33" s="707">
        <f t="shared" ca="1" si="6"/>
        <v>0</v>
      </c>
    </row>
    <row r="34" spans="1:13" ht="22.5" customHeight="1">
      <c r="A34" s="705"/>
      <c r="B34" s="708"/>
      <c r="C34" s="705"/>
      <c r="D34" s="709"/>
      <c r="E34" s="710"/>
      <c r="F34" s="711"/>
      <c r="G34" s="711"/>
      <c r="H34" s="711"/>
      <c r="I34" s="711"/>
      <c r="J34" s="711"/>
      <c r="K34" s="711"/>
      <c r="L34" s="711"/>
      <c r="M34" s="711"/>
    </row>
    <row r="35" spans="1:13" ht="22.5" customHeight="1">
      <c r="A35" s="705"/>
      <c r="B35" s="708"/>
      <c r="C35" s="705"/>
      <c r="D35" s="703" t="s">
        <v>133</v>
      </c>
      <c r="E35" s="702" t="s">
        <v>19</v>
      </c>
      <c r="F35" s="704">
        <f t="shared" ref="F35:M35" ca="1" si="7">SUM(F15:F34)</f>
        <v>0</v>
      </c>
      <c r="G35" s="704">
        <f t="shared" ca="1" si="7"/>
        <v>0</v>
      </c>
      <c r="H35" s="704">
        <f t="shared" ca="1" si="7"/>
        <v>0</v>
      </c>
      <c r="I35" s="704">
        <f t="shared" ca="1" si="7"/>
        <v>0</v>
      </c>
      <c r="J35" s="704">
        <f t="shared" ca="1" si="7"/>
        <v>0</v>
      </c>
      <c r="K35" s="704">
        <f t="shared" ca="1" si="7"/>
        <v>0</v>
      </c>
      <c r="L35" s="704">
        <f t="shared" ca="1" si="7"/>
        <v>0</v>
      </c>
      <c r="M35" s="704">
        <f t="shared" ca="1" si="7"/>
        <v>0</v>
      </c>
    </row>
    <row r="36" spans="1:13" ht="22.5" customHeight="1">
      <c r="A36" s="712"/>
      <c r="B36" s="710"/>
      <c r="C36" s="712"/>
      <c r="D36" s="713" t="s">
        <v>394</v>
      </c>
      <c r="E36" s="708"/>
      <c r="F36" s="714">
        <f ca="1">SUM(G36:M36)</f>
        <v>0</v>
      </c>
      <c r="G36" s="714">
        <f t="shared" ref="G36:M36" ca="1" si="8">G35</f>
        <v>0</v>
      </c>
      <c r="H36" s="714">
        <f t="shared" ca="1" si="8"/>
        <v>0</v>
      </c>
      <c r="I36" s="714">
        <f t="shared" ref="I36" ca="1" si="9">I35</f>
        <v>0</v>
      </c>
      <c r="J36" s="714">
        <f t="shared" ca="1" si="8"/>
        <v>0</v>
      </c>
      <c r="K36" s="714">
        <f t="shared" ca="1" si="8"/>
        <v>0</v>
      </c>
      <c r="L36" s="714">
        <f t="shared" ref="L36" ca="1" si="10">L35</f>
        <v>0</v>
      </c>
      <c r="M36" s="714">
        <f t="shared" ca="1" si="8"/>
        <v>0</v>
      </c>
    </row>
    <row r="37" spans="1:13" ht="22.5" customHeight="1">
      <c r="A37" s="715"/>
      <c r="B37" s="715"/>
      <c r="C37" s="715"/>
      <c r="D37" s="716" t="s">
        <v>10</v>
      </c>
      <c r="E37" s="715" t="s">
        <v>19</v>
      </c>
      <c r="F37" s="717">
        <f t="shared" ref="F37:M37" ca="1" si="11">F15+F35-F36</f>
        <v>0</v>
      </c>
      <c r="G37" s="717">
        <f t="shared" ca="1" si="11"/>
        <v>0</v>
      </c>
      <c r="H37" s="717">
        <f t="shared" ca="1" si="11"/>
        <v>0</v>
      </c>
      <c r="I37" s="717">
        <f t="shared" ca="1" si="11"/>
        <v>0</v>
      </c>
      <c r="J37" s="717">
        <f t="shared" ca="1" si="11"/>
        <v>0</v>
      </c>
      <c r="K37" s="717">
        <f t="shared" ca="1" si="11"/>
        <v>0</v>
      </c>
      <c r="L37" s="717">
        <f t="shared" ca="1" si="11"/>
        <v>0</v>
      </c>
      <c r="M37" s="717">
        <f t="shared" ca="1" si="11"/>
        <v>0</v>
      </c>
    </row>
    <row r="39" spans="1:13">
      <c r="B39" s="718"/>
      <c r="C39" s="698" t="s">
        <v>395</v>
      </c>
    </row>
    <row r="40" spans="1:13">
      <c r="C40" s="698" t="e">
        <f ca="1">"Ngày mở sổ: "&amp;"01/"&amp;MONTH(A16)&amp;"/ "&amp;YEAR(A16)</f>
        <v>#VALUE!</v>
      </c>
    </row>
    <row r="41" spans="1:13">
      <c r="E41" s="697"/>
      <c r="F41" s="697"/>
      <c r="G41" s="697"/>
      <c r="H41" s="697"/>
      <c r="I41" s="697"/>
      <c r="J41" s="1100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0"/>
      <c r="L41" s="1100"/>
      <c r="M41" s="1100"/>
    </row>
    <row r="42" spans="1:13">
      <c r="B42" s="697"/>
      <c r="C42" s="694" t="s">
        <v>11</v>
      </c>
      <c r="D42" s="697"/>
      <c r="E42" s="697"/>
      <c r="F42" s="697"/>
      <c r="G42" s="697"/>
      <c r="H42" s="697"/>
      <c r="I42" s="697"/>
      <c r="J42" s="1100" t="s">
        <v>12</v>
      </c>
      <c r="K42" s="1100"/>
      <c r="L42" s="1100"/>
      <c r="M42" s="1100"/>
    </row>
    <row r="43" spans="1:13">
      <c r="B43" s="697"/>
      <c r="C43" s="694" t="s">
        <v>13</v>
      </c>
      <c r="D43" s="697"/>
      <c r="E43" s="697"/>
      <c r="F43" s="697"/>
      <c r="G43" s="697"/>
      <c r="H43" s="697"/>
      <c r="I43" s="697"/>
      <c r="J43" s="697"/>
      <c r="K43" s="697" t="s">
        <v>13</v>
      </c>
      <c r="L43" s="697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4" customWidth="1"/>
    <col min="2" max="2" width="8.85546875" style="694" customWidth="1"/>
    <col min="3" max="3" width="10.5703125" style="694" customWidth="1"/>
    <col min="4" max="4" width="31.85546875" style="694" customWidth="1"/>
    <col min="5" max="5" width="10.28515625" style="694" customWidth="1"/>
    <col min="6" max="6" width="15.28515625" style="694" customWidth="1"/>
    <col min="7" max="7" width="9.42578125" style="694" customWidth="1"/>
    <col min="8" max="8" width="15.140625" style="694" customWidth="1"/>
    <col min="9" max="9" width="9.140625" style="694"/>
    <col min="10" max="10" width="16.28515625" style="694" customWidth="1"/>
    <col min="11" max="11" width="6" style="694" customWidth="1"/>
    <col min="12" max="16384" width="9.140625" style="694"/>
  </cols>
  <sheetData>
    <row r="2" spans="1:13">
      <c r="A2" s="693" t="str">
        <f>'154'!A2</f>
        <v>Đơn vị: CÔNG TY TNHH SX TM KIM DUNG PHÁT</v>
      </c>
      <c r="F2" s="695"/>
      <c r="G2" s="1142" t="s">
        <v>382</v>
      </c>
      <c r="H2" s="1142"/>
      <c r="I2" s="1142"/>
      <c r="J2" s="1142"/>
    </row>
    <row r="3" spans="1:13" ht="15" customHeight="1">
      <c r="A3" s="723" t="str">
        <f>'154'!A3</f>
        <v>Địa chỉ: 1A227/1 Ấp 1, Phạm Văn Hai, Bình Chánh, TPHCM</v>
      </c>
      <c r="G3" s="1145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45"/>
      <c r="I3" s="1145"/>
      <c r="J3" s="1145"/>
    </row>
    <row r="4" spans="1:13">
      <c r="G4" s="1145"/>
      <c r="H4" s="1145"/>
      <c r="I4" s="1145"/>
      <c r="J4" s="1145"/>
    </row>
    <row r="5" spans="1:13" ht="27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696" t="s">
        <v>172</v>
      </c>
      <c r="L5" s="627">
        <f>IF(L13="Quý I",1,IF(L13="Quý II",4,IF(L13="Quý III",7,IF(L13="Quý IV",10,""))))</f>
        <v>4</v>
      </c>
      <c r="M5" s="627">
        <f>IF(L13="Quý I",3,IF(L13="Quý II",6,IF(L13="Quý III",9,IF(L13="Quý IV",12,""))))</f>
        <v>6</v>
      </c>
    </row>
    <row r="6" spans="1:13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</row>
    <row r="7" spans="1:13">
      <c r="B7" s="697"/>
      <c r="C7" s="697"/>
      <c r="D7" s="697"/>
      <c r="E7" s="698" t="s">
        <v>396</v>
      </c>
      <c r="G7" s="697"/>
      <c r="H7" s="697"/>
      <c r="I7" s="697"/>
      <c r="J7" s="697"/>
    </row>
    <row r="8" spans="1:13">
      <c r="B8" s="697"/>
      <c r="C8" s="697"/>
      <c r="D8" s="697"/>
      <c r="E8" s="698" t="s">
        <v>386</v>
      </c>
      <c r="G8" s="697"/>
      <c r="H8" s="697"/>
      <c r="I8" s="697"/>
      <c r="J8" s="697"/>
    </row>
    <row r="9" spans="1:13">
      <c r="B9" s="699"/>
      <c r="C9" s="699"/>
      <c r="D9" s="699"/>
      <c r="E9" s="698" t="s">
        <v>387</v>
      </c>
      <c r="G9" s="699"/>
      <c r="H9" s="699"/>
      <c r="I9" s="699"/>
      <c r="J9" s="699"/>
    </row>
    <row r="10" spans="1:13" ht="9.75" customHeight="1">
      <c r="C10" s="1141"/>
      <c r="D10" s="1141"/>
      <c r="E10" s="1141"/>
      <c r="F10" s="1141"/>
      <c r="G10" s="1141"/>
      <c r="H10" s="1141"/>
      <c r="I10" s="1141"/>
      <c r="J10" s="1141"/>
    </row>
    <row r="11" spans="1:13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397</v>
      </c>
      <c r="G11" s="1147"/>
      <c r="H11" s="1147"/>
      <c r="I11" s="1147"/>
      <c r="J11" s="1147"/>
    </row>
    <row r="12" spans="1:13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</row>
    <row r="13" spans="1:13" ht="30.75" customHeight="1" thickBot="1">
      <c r="A13" s="1146"/>
      <c r="B13" s="1148"/>
      <c r="C13" s="1148"/>
      <c r="D13" s="1146"/>
      <c r="E13" s="1146"/>
      <c r="F13" s="1148"/>
      <c r="G13" s="700">
        <v>154</v>
      </c>
      <c r="H13" s="700">
        <v>155</v>
      </c>
      <c r="I13" s="700">
        <v>156</v>
      </c>
      <c r="J13" s="700">
        <v>157</v>
      </c>
      <c r="L13" s="722" t="s">
        <v>353</v>
      </c>
    </row>
    <row r="14" spans="1:13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</row>
    <row r="15" spans="1:13" ht="20.2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</row>
    <row r="16" spans="1:13" ht="20.25" customHeight="1">
      <c r="A16" s="705" t="str">
        <f ca="1">IF(ROWS($1:1)&gt;COUNT(Dong8),"",OFFSET(TH!C$1,SMALL(Dong8,ROWS($1:1)),))</f>
        <v/>
      </c>
      <c r="B16" s="705" t="str">
        <f ca="1">IF(ROWS($1:1)&gt;COUNT(Dong8),"",OFFSET(TH!D$1,SMALL(Dong8,ROWS($1:1)),))</f>
        <v/>
      </c>
      <c r="C16" s="705" t="str">
        <f ca="1">IF(ROWS($1:1)&gt;COUNT(Dong8),"",OFFSET(TH!E$1,SMALL(Dong8,ROWS($1:1)),))</f>
        <v/>
      </c>
      <c r="D16" s="706" t="str">
        <f ca="1">IF(ROWS($1:1)&gt;COUNT(Dong8),"",OFFSET(TH!F$1,SMALL(Dong8,ROWS($1:1)),))</f>
        <v/>
      </c>
      <c r="E16" s="705" t="str">
        <f ca="1">IF(ROWS($1:1)&gt;COUNT(Dong8),"",OFFSET(TH!M$1,SMALL(Dong8,ROWS($1:1)),))</f>
        <v/>
      </c>
      <c r="F16" s="707" t="str">
        <f ca="1">IF(ROWS($1:1)&gt;COUNT(Dong8),"",OFFSET(TH!K$1,SMALL(Dong8,ROWS($1:1)),))</f>
        <v/>
      </c>
      <c r="G16" s="707">
        <f ca="1">IF($E16="154",$F16,0)</f>
        <v>0</v>
      </c>
      <c r="H16" s="707">
        <f ca="1">IF($E16="155",$F16,0)</f>
        <v>0</v>
      </c>
      <c r="I16" s="707">
        <f ca="1">IF($E16="156",$F16,0)</f>
        <v>0</v>
      </c>
      <c r="J16" s="707">
        <f ca="1">IF($E16="157",$F16,0)</f>
        <v>0</v>
      </c>
    </row>
    <row r="17" spans="1:10" ht="20.25" customHeight="1">
      <c r="A17" s="705" t="str">
        <f ca="1">IF(ROWS($1:2)&gt;COUNT(Dong8),"",OFFSET(TH!C$1,SMALL(Dong8,ROWS($1:2)),))</f>
        <v/>
      </c>
      <c r="B17" s="705" t="str">
        <f ca="1">IF(ROWS($1:2)&gt;COUNT(Dong8),"",OFFSET(TH!D$1,SMALL(Dong8,ROWS($1:2)),))</f>
        <v/>
      </c>
      <c r="C17" s="705" t="str">
        <f ca="1">IF(ROWS($1:2)&gt;COUNT(Dong8),"",OFFSET(TH!E$1,SMALL(Dong8,ROWS($1:2)),))</f>
        <v/>
      </c>
      <c r="D17" s="706" t="str">
        <f ca="1">IF(ROWS($1:2)&gt;COUNT(Dong8),"",OFFSET(TH!F$1,SMALL(Dong8,ROWS($1:2)),))</f>
        <v/>
      </c>
      <c r="E17" s="705" t="str">
        <f ca="1">IF(ROWS($1:2)&gt;COUNT(Dong8),"",OFFSET(TH!M$1,SMALL(Dong8,ROWS($1:2)),))</f>
        <v/>
      </c>
      <c r="F17" s="707" t="str">
        <f ca="1">IF(ROWS($1:2)&gt;COUNT(Dong8),"",OFFSET(TH!K$1,SMALL(Dong8,ROWS($1:2)),))</f>
        <v/>
      </c>
      <c r="G17" s="707">
        <f t="shared" ref="G17:G20" ca="1" si="0">IF($E17="154",$F17,0)</f>
        <v>0</v>
      </c>
      <c r="H17" s="707">
        <f t="shared" ref="H17:H20" ca="1" si="1">IF($E17="155",$F17,0)</f>
        <v>0</v>
      </c>
      <c r="I17" s="707">
        <f t="shared" ref="I17:I20" ca="1" si="2">IF($E17="156",$F17,0)</f>
        <v>0</v>
      </c>
      <c r="J17" s="707">
        <f t="shared" ref="J17:J20" ca="1" si="3">IF($E17="157",$F17,0)</f>
        <v>0</v>
      </c>
    </row>
    <row r="18" spans="1:10" ht="20.25" customHeight="1">
      <c r="A18" s="705" t="str">
        <f ca="1">IF(ROWS($1:3)&gt;COUNT(Dong8),"",OFFSET(TH!C$1,SMALL(Dong8,ROWS($1:3)),))</f>
        <v/>
      </c>
      <c r="B18" s="705" t="str">
        <f ca="1">IF(ROWS($1:3)&gt;COUNT(Dong8),"",OFFSET(TH!D$1,SMALL(Dong8,ROWS($1:3)),))</f>
        <v/>
      </c>
      <c r="C18" s="705" t="str">
        <f ca="1">IF(ROWS($1:3)&gt;COUNT(Dong8),"",OFFSET(TH!E$1,SMALL(Dong8,ROWS($1:3)),))</f>
        <v/>
      </c>
      <c r="D18" s="706" t="str">
        <f ca="1">IF(ROWS($1:3)&gt;COUNT(Dong8),"",OFFSET(TH!F$1,SMALL(Dong8,ROWS($1:3)),))</f>
        <v/>
      </c>
      <c r="E18" s="705" t="str">
        <f ca="1">IF(ROWS($1:3)&gt;COUNT(Dong8),"",OFFSET(TH!M$1,SMALL(Dong8,ROWS($1:3)),))</f>
        <v/>
      </c>
      <c r="F18" s="707" t="str">
        <f ca="1">IF(ROWS($1:3)&gt;COUNT(Dong8),"",OFFSET(TH!K$1,SMALL(Dong8,ROWS($1:3)),))</f>
        <v/>
      </c>
      <c r="G18" s="707">
        <f t="shared" ca="1" si="0"/>
        <v>0</v>
      </c>
      <c r="H18" s="707">
        <f t="shared" ca="1" si="1"/>
        <v>0</v>
      </c>
      <c r="I18" s="707">
        <f t="shared" ca="1" si="2"/>
        <v>0</v>
      </c>
      <c r="J18" s="707">
        <f t="shared" ca="1" si="3"/>
        <v>0</v>
      </c>
    </row>
    <row r="19" spans="1:10" ht="20.25" customHeight="1">
      <c r="A19" s="705" t="str">
        <f ca="1">IF(ROWS($1:4)&gt;COUNT(Dong8),"",OFFSET(TH!C$1,SMALL(Dong8,ROWS($1:4)),))</f>
        <v/>
      </c>
      <c r="B19" s="705" t="str">
        <f ca="1">IF(ROWS($1:4)&gt;COUNT(Dong8),"",OFFSET(TH!D$1,SMALL(Dong8,ROWS($1:4)),))</f>
        <v/>
      </c>
      <c r="C19" s="705" t="str">
        <f ca="1">IF(ROWS($1:4)&gt;COUNT(Dong8),"",OFFSET(TH!E$1,SMALL(Dong8,ROWS($1:4)),))</f>
        <v/>
      </c>
      <c r="D19" s="706" t="str">
        <f ca="1">IF(ROWS($1:4)&gt;COUNT(Dong8),"",OFFSET(TH!F$1,SMALL(Dong8,ROWS($1:4)),))</f>
        <v/>
      </c>
      <c r="E19" s="705" t="str">
        <f ca="1">IF(ROWS($1:4)&gt;COUNT(Dong8),"",OFFSET(TH!M$1,SMALL(Dong8,ROWS($1:4)),))</f>
        <v/>
      </c>
      <c r="F19" s="707" t="str">
        <f ca="1">IF(ROWS($1:4)&gt;COUNT(Dong8),"",OFFSET(TH!K$1,SMALL(Dong8,ROWS($1:4)),))</f>
        <v/>
      </c>
      <c r="G19" s="707">
        <f t="shared" ca="1" si="0"/>
        <v>0</v>
      </c>
      <c r="H19" s="707">
        <f t="shared" ca="1" si="1"/>
        <v>0</v>
      </c>
      <c r="I19" s="707">
        <f t="shared" ca="1" si="2"/>
        <v>0</v>
      </c>
      <c r="J19" s="707">
        <f t="shared" ca="1" si="3"/>
        <v>0</v>
      </c>
    </row>
    <row r="20" spans="1:10" ht="20.25" customHeight="1">
      <c r="A20" s="705" t="str">
        <f ca="1">IF(ROWS($1:5)&gt;COUNT(Dong8),"",OFFSET(TH!C$1,SMALL(Dong8,ROWS($1:5)),))</f>
        <v/>
      </c>
      <c r="B20" s="705" t="str">
        <f ca="1">IF(ROWS($1:5)&gt;COUNT(Dong8),"",OFFSET(TH!D$1,SMALL(Dong8,ROWS($1:5)),))</f>
        <v/>
      </c>
      <c r="C20" s="705" t="str">
        <f ca="1">IF(ROWS($1:5)&gt;COUNT(Dong8),"",OFFSET(TH!E$1,SMALL(Dong8,ROWS($1:5)),))</f>
        <v/>
      </c>
      <c r="D20" s="706" t="str">
        <f ca="1">IF(ROWS($1:5)&gt;COUNT(Dong8),"",OFFSET(TH!F$1,SMALL(Dong8,ROWS($1:5)),))</f>
        <v/>
      </c>
      <c r="E20" s="705" t="str">
        <f ca="1">IF(ROWS($1:5)&gt;COUNT(Dong8),"",OFFSET(TH!M$1,SMALL(Dong8,ROWS($1:5)),))</f>
        <v/>
      </c>
      <c r="F20" s="707" t="str">
        <f ca="1">IF(ROWS($1:5)&gt;COUNT(Dong8),"",OFFSET(TH!K$1,SMALL(Dong8,ROWS($1:5)),))</f>
        <v/>
      </c>
      <c r="G20" s="707">
        <f t="shared" ca="1" si="0"/>
        <v>0</v>
      </c>
      <c r="H20" s="707">
        <f t="shared" ca="1" si="1"/>
        <v>0</v>
      </c>
      <c r="I20" s="707">
        <f t="shared" ca="1" si="2"/>
        <v>0</v>
      </c>
      <c r="J20" s="707">
        <f t="shared" ca="1" si="3"/>
        <v>0</v>
      </c>
    </row>
    <row r="21" spans="1:10" ht="20.25" customHeight="1">
      <c r="A21" s="705"/>
      <c r="B21" s="708"/>
      <c r="C21" s="705"/>
      <c r="D21" s="709"/>
      <c r="E21" s="710"/>
      <c r="F21" s="711"/>
      <c r="G21" s="711"/>
      <c r="H21" s="711"/>
      <c r="I21" s="711"/>
      <c r="J21" s="711"/>
    </row>
    <row r="22" spans="1:10" ht="20.25" customHeight="1">
      <c r="A22" s="705"/>
      <c r="B22" s="708"/>
      <c r="C22" s="705"/>
      <c r="D22" s="703" t="s">
        <v>133</v>
      </c>
      <c r="E22" s="702" t="s">
        <v>19</v>
      </c>
      <c r="F22" s="704">
        <f ca="1">SUM(F15:F21)</f>
        <v>0</v>
      </c>
      <c r="G22" s="704">
        <f ca="1">SUM(G15:G21)</f>
        <v>0</v>
      </c>
      <c r="H22" s="704">
        <f ca="1">SUM(H15:H21)</f>
        <v>0</v>
      </c>
      <c r="I22" s="704">
        <f ca="1">SUM(I15:I21)</f>
        <v>0</v>
      </c>
      <c r="J22" s="704">
        <f ca="1">SUM(J15:J21)</f>
        <v>0</v>
      </c>
    </row>
    <row r="23" spans="1:10" ht="20.25" customHeight="1">
      <c r="A23" s="712"/>
      <c r="B23" s="710"/>
      <c r="C23" s="712"/>
      <c r="D23" s="713" t="s">
        <v>398</v>
      </c>
      <c r="E23" s="708"/>
      <c r="F23" s="714">
        <f ca="1">SUM(G23:J23)</f>
        <v>0</v>
      </c>
      <c r="G23" s="714">
        <f ca="1">G22</f>
        <v>0</v>
      </c>
      <c r="H23" s="714">
        <f ca="1">H22</f>
        <v>0</v>
      </c>
      <c r="I23" s="714">
        <f ca="1">I22</f>
        <v>0</v>
      </c>
      <c r="J23" s="714">
        <f ca="1">J22</f>
        <v>0</v>
      </c>
    </row>
    <row r="24" spans="1:10" ht="20.25" customHeight="1">
      <c r="A24" s="715"/>
      <c r="B24" s="715"/>
      <c r="C24" s="715"/>
      <c r="D24" s="716" t="s">
        <v>10</v>
      </c>
      <c r="E24" s="715" t="s">
        <v>19</v>
      </c>
      <c r="F24" s="717">
        <f ca="1">F15+F22-F23</f>
        <v>0</v>
      </c>
      <c r="G24" s="717">
        <f ca="1">G15+G22-G23</f>
        <v>0</v>
      </c>
      <c r="H24" s="717">
        <f ca="1">H15+H22-H23</f>
        <v>0</v>
      </c>
      <c r="I24" s="717">
        <f ca="1">I15+I22-I23</f>
        <v>0</v>
      </c>
      <c r="J24" s="717">
        <f ca="1">J15+J22-J23</f>
        <v>0</v>
      </c>
    </row>
    <row r="26" spans="1:10">
      <c r="B26" s="718"/>
      <c r="C26" s="698" t="s">
        <v>399</v>
      </c>
    </row>
    <row r="27" spans="1:10">
      <c r="C27" s="698" t="e">
        <f ca="1">"- Ngày mở sổ: "&amp;"01/"&amp;MONTH(A16)&amp;"/ "&amp;YEAR(A16)</f>
        <v>#VALUE!</v>
      </c>
    </row>
    <row r="28" spans="1:10">
      <c r="E28" s="697"/>
      <c r="F28" s="697"/>
      <c r="G28" s="697"/>
      <c r="H28" s="697"/>
      <c r="I28" s="1100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0"/>
    </row>
    <row r="29" spans="1:10">
      <c r="B29" s="697"/>
      <c r="C29" s="694" t="s">
        <v>11</v>
      </c>
      <c r="D29" s="697"/>
      <c r="E29" s="697"/>
      <c r="F29" s="697"/>
      <c r="G29" s="697"/>
      <c r="H29" s="697"/>
      <c r="I29" s="1100" t="s">
        <v>12</v>
      </c>
      <c r="J29" s="1100"/>
    </row>
    <row r="30" spans="1:10">
      <c r="B30" s="697"/>
      <c r="C30" s="694" t="s">
        <v>13</v>
      </c>
      <c r="D30" s="697"/>
      <c r="E30" s="697"/>
      <c r="F30" s="697"/>
      <c r="G30" s="697"/>
      <c r="H30" s="697"/>
      <c r="I30" s="697"/>
      <c r="J30" s="697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4" customWidth="1"/>
    <col min="3" max="3" width="8.5703125" style="694" customWidth="1"/>
    <col min="4" max="4" width="51.42578125" style="694" customWidth="1"/>
    <col min="5" max="5" width="8" style="694" customWidth="1"/>
    <col min="6" max="6" width="12.28515625" style="694" bestFit="1" customWidth="1"/>
    <col min="7" max="7" width="10.140625" style="694" customWidth="1"/>
    <col min="8" max="8" width="10.7109375" style="694" customWidth="1"/>
    <col min="9" max="9" width="11.42578125" style="694" customWidth="1"/>
    <col min="10" max="10" width="11.5703125" style="694" customWidth="1"/>
    <col min="11" max="11" width="11.42578125" style="694" customWidth="1"/>
    <col min="12" max="12" width="9.42578125" style="694" customWidth="1"/>
    <col min="13" max="13" width="6.7109375" style="694" customWidth="1"/>
    <col min="14" max="16384" width="9.140625" style="694"/>
  </cols>
  <sheetData>
    <row r="2" spans="1:15">
      <c r="A2" s="693" t="str">
        <f>'632'!A2</f>
        <v>Đơn vị: CÔNG TY TNHH SX TM KIM DUNG PHÁT</v>
      </c>
      <c r="F2" s="695"/>
      <c r="G2" s="695"/>
      <c r="H2" s="1142" t="s">
        <v>382</v>
      </c>
      <c r="I2" s="1142"/>
      <c r="J2" s="1142"/>
      <c r="K2" s="1142"/>
      <c r="L2" s="719"/>
    </row>
    <row r="3" spans="1:15" ht="15" customHeight="1">
      <c r="A3" s="723" t="str">
        <f>'632'!A3</f>
        <v>Địa chỉ: 1A227/1 Ấp 1, Phạm Văn Hai, Bình Chánh, TPHCM</v>
      </c>
      <c r="H3" s="114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5"/>
      <c r="J3" s="1145"/>
      <c r="K3" s="1145"/>
      <c r="L3" s="697"/>
    </row>
    <row r="4" spans="1:15">
      <c r="H4" s="1145"/>
      <c r="I4" s="1145"/>
      <c r="J4" s="1145"/>
      <c r="K4" s="1145"/>
      <c r="L4" s="697"/>
    </row>
    <row r="5" spans="1:15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696" t="s">
        <v>83</v>
      </c>
      <c r="N5" s="627">
        <f>IF(N13="Quý I",1,IF(N13="Quý II",4,IF(N13="Quý III",7,IF(N13="Quý IV",10,""))))</f>
        <v>4</v>
      </c>
      <c r="O5" s="627">
        <f>IF(N13="Quý I",3,IF(N13="Quý II",6,IF(N13="Quý III",9,IF(N13="Quý IV",12,""))))</f>
        <v>6</v>
      </c>
    </row>
    <row r="6" spans="1:15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</row>
    <row r="7" spans="1:15">
      <c r="B7" s="697"/>
      <c r="C7" s="697"/>
      <c r="D7" s="697"/>
      <c r="E7" s="698" t="s">
        <v>400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</row>
    <row r="11" spans="1:15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401</v>
      </c>
      <c r="G11" s="1147"/>
      <c r="H11" s="1147"/>
      <c r="I11" s="1147"/>
      <c r="J11" s="1147"/>
      <c r="K11" s="1147"/>
      <c r="L11" s="1147"/>
    </row>
    <row r="12" spans="1:15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</row>
    <row r="13" spans="1:15" ht="29.25" customHeight="1" thickBot="1">
      <c r="A13" s="1146"/>
      <c r="B13" s="1148"/>
      <c r="C13" s="1148"/>
      <c r="D13" s="1146"/>
      <c r="E13" s="1146"/>
      <c r="F13" s="1148"/>
      <c r="G13" s="720" t="s">
        <v>47</v>
      </c>
      <c r="H13" s="720" t="s">
        <v>24</v>
      </c>
      <c r="I13" s="720" t="s">
        <v>63</v>
      </c>
      <c r="J13" s="720" t="s">
        <v>262</v>
      </c>
      <c r="K13" s="720"/>
      <c r="L13" s="720"/>
      <c r="N13" s="722" t="s">
        <v>353</v>
      </c>
    </row>
    <row r="14" spans="1:15">
      <c r="A14" s="701" t="s">
        <v>2</v>
      </c>
      <c r="B14" s="701" t="s">
        <v>3</v>
      </c>
      <c r="C14" s="701" t="s">
        <v>4</v>
      </c>
      <c r="D14" s="701" t="s">
        <v>5</v>
      </c>
      <c r="E14" s="701" t="s">
        <v>6</v>
      </c>
      <c r="F14" s="701">
        <v>1</v>
      </c>
      <c r="G14" s="701">
        <v>2</v>
      </c>
      <c r="H14" s="701">
        <v>3</v>
      </c>
      <c r="I14" s="701">
        <v>4</v>
      </c>
      <c r="J14" s="701">
        <v>5</v>
      </c>
      <c r="K14" s="701">
        <v>6</v>
      </c>
      <c r="L14" s="701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IF(ROWS($1:1)&gt;COUNT(Dong7),"",OFFSET(TH!C$1,SMALL(Dong7,ROWS($1:1)),))</f>
        <v>42516</v>
      </c>
      <c r="B16" s="705" t="str">
        <f ca="1">IF(ROWS($1:1)&gt;COUNT(Dong7),"",OFFSET(TH!D$1,SMALL(Dong7,ROWS($1:1)),))</f>
        <v>GBN</v>
      </c>
      <c r="C16" s="705">
        <f ca="1">IF(ROWS($1:1)&gt;COUNT(Dong7),"",OFFSET(TH!E$1,SMALL(Dong7,ROWS($1:1)),))</f>
        <v>42516</v>
      </c>
      <c r="D16" s="706" t="str">
        <f ca="1">IF(ROWS($1:1)&gt;COUNT(Dong7),"",OFFSET(TH!F$1,SMALL(Dong7,ROWS($1:1)),))</f>
        <v>Phí bán 2 cuốn sec</v>
      </c>
      <c r="E16" s="705" t="str">
        <f ca="1">IF(ROWS($1:1)&gt;COUNT(Dong7),"",OFFSET(TH!M$1,SMALL(Dong7,ROWS($1:1)),))</f>
        <v>1121</v>
      </c>
      <c r="F16" s="707">
        <f ca="1">IF(ROWS($1:1)&gt;COUNT(Dong7),"",OFFSET(TH!K$1,SMALL(Dong7,ROWS($1:1)),))</f>
        <v>20000</v>
      </c>
      <c r="G16" s="707">
        <f t="shared" ref="G16:J30" ca="1" si="0">IF($E16=G$13,$F16,0)</f>
        <v>0</v>
      </c>
      <c r="H16" s="707">
        <f t="shared" ca="1" si="0"/>
        <v>20000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IF(ROWS($1:2)&gt;COUNT(Dong7),"",OFFSET(TH!C$1,SMALL(Dong7,ROWS($1:2)),))</f>
        <v>42546</v>
      </c>
      <c r="B17" s="705" t="str">
        <f ca="1">IF(ROWS($1:2)&gt;COUNT(Dong7),"",OFFSET(TH!D$1,SMALL(Dong7,ROWS($1:2)),))</f>
        <v>GBN</v>
      </c>
      <c r="C17" s="705">
        <f ca="1">IF(ROWS($1:2)&gt;COUNT(Dong7),"",OFFSET(TH!E$1,SMALL(Dong7,ROWS($1:2)),))</f>
        <v>42546</v>
      </c>
      <c r="D17" s="706" t="str">
        <f ca="1">IF(ROWS($1:2)&gt;COUNT(Dong7),"",OFFSET(TH!F$1,SMALL(Dong7,ROWS($1:2)),))</f>
        <v>Phí quản lý tài khoản</v>
      </c>
      <c r="E17" s="705" t="str">
        <f ca="1">IF(ROWS($1:2)&gt;COUNT(Dong7),"",OFFSET(TH!M$1,SMALL(Dong7,ROWS($1:2)),))</f>
        <v>1121</v>
      </c>
      <c r="F17" s="707">
        <f ca="1">IF(ROWS($1:2)&gt;COUNT(Dong7),"",OFFSET(TH!K$1,SMALL(Dong7,ROWS($1:2)),))</f>
        <v>10000</v>
      </c>
      <c r="G17" s="707">
        <f t="shared" ca="1" si="0"/>
        <v>0</v>
      </c>
      <c r="H17" s="707">
        <f t="shared" ca="1" si="0"/>
        <v>10000</v>
      </c>
      <c r="I17" s="707">
        <f t="shared" ca="1" si="0"/>
        <v>0</v>
      </c>
      <c r="J17" s="707">
        <f t="shared" ca="1" si="0"/>
        <v>0</v>
      </c>
      <c r="K17" s="707">
        <f t="shared" ref="K17:L30" ca="1" si="1">IF(LEFT($E17,3)=K$13,$F17,0)</f>
        <v>0</v>
      </c>
      <c r="L17" s="707">
        <f t="shared" ca="1" si="1"/>
        <v>0</v>
      </c>
    </row>
    <row r="18" spans="1:12" ht="21.75" customHeight="1">
      <c r="A18" s="705" t="str">
        <f ca="1">IF(ROWS($1:3)&gt;COUNT(Dong7),"",OFFSET(TH!C$1,SMALL(Dong7,ROWS($1:3)),))</f>
        <v/>
      </c>
      <c r="B18" s="705" t="str">
        <f ca="1">IF(ROWS($1:3)&gt;COUNT(Dong7),"",OFFSET(TH!D$1,SMALL(Dong7,ROWS($1:3)),))</f>
        <v/>
      </c>
      <c r="C18" s="705" t="str">
        <f ca="1">IF(ROWS($1:3)&gt;COUNT(Dong7),"",OFFSET(TH!E$1,SMALL(Dong7,ROWS($1:3)),))</f>
        <v/>
      </c>
      <c r="D18" s="706" t="str">
        <f ca="1">IF(ROWS($1:3)&gt;COUNT(Dong7),"",OFFSET(TH!F$1,SMALL(Dong7,ROWS($1:3)),))</f>
        <v/>
      </c>
      <c r="E18" s="705" t="str">
        <f ca="1">IF(ROWS($1:3)&gt;COUNT(Dong7),"",OFFSET(TH!M$1,SMALL(Dong7,ROWS($1:3)),))</f>
        <v/>
      </c>
      <c r="F18" s="707" t="str">
        <f ca="1">IF(ROWS($1:3)&gt;COUNT(Dong7),"",OFFSET(TH!K$1,SMALL(Dong7,ROWS($1:3)),))</f>
        <v/>
      </c>
      <c r="G18" s="707">
        <f t="shared" ca="1" si="0"/>
        <v>0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 t="str">
        <f t="shared" ca="1" si="1"/>
        <v/>
      </c>
      <c r="L18" s="707" t="str">
        <f t="shared" ca="1" si="1"/>
        <v/>
      </c>
    </row>
    <row r="19" spans="1:12" ht="21.75" customHeight="1">
      <c r="A19" s="705" t="str">
        <f ca="1">IF(ROWS($1:4)&gt;COUNT(Dong7),"",OFFSET(TH!C$1,SMALL(Dong7,ROWS($1:4)),))</f>
        <v/>
      </c>
      <c r="B19" s="705" t="str">
        <f ca="1">IF(ROWS($1:4)&gt;COUNT(Dong7),"",OFFSET(TH!D$1,SMALL(Dong7,ROWS($1:4)),))</f>
        <v/>
      </c>
      <c r="C19" s="705" t="str">
        <f ca="1">IF(ROWS($1:4)&gt;COUNT(Dong7),"",OFFSET(TH!E$1,SMALL(Dong7,ROWS($1:4)),))</f>
        <v/>
      </c>
      <c r="D19" s="706" t="str">
        <f ca="1">IF(ROWS($1:4)&gt;COUNT(Dong7),"",OFFSET(TH!F$1,SMALL(Dong7,ROWS($1:4)),))</f>
        <v/>
      </c>
      <c r="E19" s="705" t="str">
        <f ca="1">IF(ROWS($1:4)&gt;COUNT(Dong7),"",OFFSET(TH!M$1,SMALL(Dong7,ROWS($1:4)),))</f>
        <v/>
      </c>
      <c r="F19" s="707" t="str">
        <f ca="1">IF(ROWS($1:4)&gt;COUNT(Dong7),"",OFFSET(TH!K$1,SMALL(Dong7,ROWS($1:4)),))</f>
        <v/>
      </c>
      <c r="G19" s="707">
        <f t="shared" ca="1" si="0"/>
        <v>0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 t="str">
        <f t="shared" ca="1" si="1"/>
        <v/>
      </c>
      <c r="L19" s="707" t="str">
        <f t="shared" ca="1" si="1"/>
        <v/>
      </c>
    </row>
    <row r="20" spans="1:12" ht="21.75" customHeight="1">
      <c r="A20" s="705" t="str">
        <f ca="1">IF(ROWS($1:5)&gt;COUNT(Dong7),"",OFFSET(TH!C$1,SMALL(Dong7,ROWS($1:5)),))</f>
        <v/>
      </c>
      <c r="B20" s="705" t="str">
        <f ca="1">IF(ROWS($1:5)&gt;COUNT(Dong7),"",OFFSET(TH!D$1,SMALL(Dong7,ROWS($1:5)),))</f>
        <v/>
      </c>
      <c r="C20" s="705" t="str">
        <f ca="1">IF(ROWS($1:5)&gt;COUNT(Dong7),"",OFFSET(TH!E$1,SMALL(Dong7,ROWS($1:5)),))</f>
        <v/>
      </c>
      <c r="D20" s="706" t="str">
        <f ca="1">IF(ROWS($1:5)&gt;COUNT(Dong7),"",OFFSET(TH!F$1,SMALL(Dong7,ROWS($1:5)),))</f>
        <v/>
      </c>
      <c r="E20" s="705" t="str">
        <f ca="1">IF(ROWS($1:5)&gt;COUNT(Dong7),"",OFFSET(TH!M$1,SMALL(Dong7,ROWS($1:5)),))</f>
        <v/>
      </c>
      <c r="F20" s="707" t="str">
        <f ca="1">IF(ROWS($1:5)&gt;COUNT(Dong7),"",OFFSET(TH!K$1,SMALL(Dong7,ROWS($1:5)),))</f>
        <v/>
      </c>
      <c r="G20" s="707">
        <f t="shared" ca="1" si="0"/>
        <v>0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 t="str">
        <f t="shared" ca="1" si="1"/>
        <v/>
      </c>
      <c r="L20" s="707" t="str">
        <f t="shared" ca="1" si="1"/>
        <v/>
      </c>
    </row>
    <row r="21" spans="1:12" ht="21.75" customHeight="1">
      <c r="A21" s="705" t="str">
        <f ca="1">IF(ROWS($1:6)&gt;COUNT(Dong7),"",OFFSET(TH!C$1,SMALL(Dong7,ROWS($1:6)),))</f>
        <v/>
      </c>
      <c r="B21" s="705" t="str">
        <f ca="1">IF(ROWS($1:6)&gt;COUNT(Dong7),"",OFFSET(TH!D$1,SMALL(Dong7,ROWS($1:6)),))</f>
        <v/>
      </c>
      <c r="C21" s="705" t="str">
        <f ca="1">IF(ROWS($1:6)&gt;COUNT(Dong7),"",OFFSET(TH!E$1,SMALL(Dong7,ROWS($1:6)),))</f>
        <v/>
      </c>
      <c r="D21" s="706" t="str">
        <f ca="1">IF(ROWS($1:6)&gt;COUNT(Dong7),"",OFFSET(TH!F$1,SMALL(Dong7,ROWS($1:6)),))</f>
        <v/>
      </c>
      <c r="E21" s="705" t="str">
        <f ca="1">IF(ROWS($1:6)&gt;COUNT(Dong7),"",OFFSET(TH!M$1,SMALL(Dong7,ROWS($1:6)),))</f>
        <v/>
      </c>
      <c r="F21" s="707" t="str">
        <f ca="1">IF(ROWS($1:6)&gt;COUNT(Dong7),"",OFFSET(TH!K$1,SMALL(Dong7,ROWS($1:6)),))</f>
        <v/>
      </c>
      <c r="G21" s="707">
        <f t="shared" ca="1" si="0"/>
        <v>0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 t="str">
        <f t="shared" ca="1" si="1"/>
        <v/>
      </c>
      <c r="L21" s="707" t="str">
        <f t="shared" ca="1" si="1"/>
        <v/>
      </c>
    </row>
    <row r="22" spans="1:12" ht="21.75" customHeight="1">
      <c r="A22" s="705" t="str">
        <f ca="1">IF(ROWS($1:7)&gt;COUNT(Dong7),"",OFFSET(TH!C$1,SMALL(Dong7,ROWS($1:7)),))</f>
        <v/>
      </c>
      <c r="B22" s="705" t="str">
        <f ca="1">IF(ROWS($1:7)&gt;COUNT(Dong7),"",OFFSET(TH!D$1,SMALL(Dong7,ROWS($1:7)),))</f>
        <v/>
      </c>
      <c r="C22" s="705" t="str">
        <f ca="1">IF(ROWS($1:7)&gt;COUNT(Dong7),"",OFFSET(TH!E$1,SMALL(Dong7,ROWS($1:7)),))</f>
        <v/>
      </c>
      <c r="D22" s="706" t="str">
        <f ca="1">IF(ROWS($1:7)&gt;COUNT(Dong7),"",OFFSET(TH!F$1,SMALL(Dong7,ROWS($1:7)),))</f>
        <v/>
      </c>
      <c r="E22" s="705" t="str">
        <f ca="1">IF(ROWS($1:7)&gt;COUNT(Dong7),"",OFFSET(TH!M$1,SMALL(Dong7,ROWS($1:7)),))</f>
        <v/>
      </c>
      <c r="F22" s="707" t="str">
        <f ca="1">IF(ROWS($1:7)&gt;COUNT(Dong7),"",OFFSET(TH!K$1,SMALL(Dong7,ROWS($1:7)),))</f>
        <v/>
      </c>
      <c r="G22" s="707">
        <f t="shared" ca="1" si="0"/>
        <v>0</v>
      </c>
      <c r="H22" s="707">
        <f t="shared" ca="1" si="0"/>
        <v>0</v>
      </c>
      <c r="I22" s="707">
        <f t="shared" ca="1" si="0"/>
        <v>0</v>
      </c>
      <c r="J22" s="707">
        <f t="shared" ca="1" si="0"/>
        <v>0</v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IF(ROWS($1:8)&gt;COUNT(Dong7),"",OFFSET(TH!C$1,SMALL(Dong7,ROWS($1:8)),))</f>
        <v/>
      </c>
      <c r="B23" s="705" t="str">
        <f ca="1">IF(ROWS($1:8)&gt;COUNT(Dong7),"",OFFSET(TH!D$1,SMALL(Dong7,ROWS($1:8)),))</f>
        <v/>
      </c>
      <c r="C23" s="705" t="str">
        <f ca="1">IF(ROWS($1:8)&gt;COUNT(Dong7),"",OFFSET(TH!E$1,SMALL(Dong7,ROWS($1:8)),))</f>
        <v/>
      </c>
      <c r="D23" s="706" t="str">
        <f ca="1">IF(ROWS($1:8)&gt;COUNT(Dong7),"",OFFSET(TH!F$1,SMALL(Dong7,ROWS($1:8)),))</f>
        <v/>
      </c>
      <c r="E23" s="705" t="str">
        <f ca="1">IF(ROWS($1:8)&gt;COUNT(Dong7),"",OFFSET(TH!M$1,SMALL(Dong7,ROWS($1:8)),))</f>
        <v/>
      </c>
      <c r="F23" s="707" t="str">
        <f ca="1">IF(ROWS($1:8)&gt;COUNT(Dong7),"",OFFSET(TH!K$1,SMALL(Dong7,ROWS($1:8)),))</f>
        <v/>
      </c>
      <c r="G23" s="707">
        <f t="shared" ca="1" si="0"/>
        <v>0</v>
      </c>
      <c r="H23" s="707">
        <f t="shared" ca="1" si="0"/>
        <v>0</v>
      </c>
      <c r="I23" s="707">
        <f t="shared" ca="1" si="0"/>
        <v>0</v>
      </c>
      <c r="J23" s="707">
        <f t="shared" ca="1" si="0"/>
        <v>0</v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IF(ROWS($1:9)&gt;COUNT(Dong7),"",OFFSET(TH!C$1,SMALL(Dong7,ROWS($1:9)),))</f>
        <v/>
      </c>
      <c r="B24" s="705" t="str">
        <f ca="1">IF(ROWS($1:9)&gt;COUNT(Dong7),"",OFFSET(TH!D$1,SMALL(Dong7,ROWS($1:9)),))</f>
        <v/>
      </c>
      <c r="C24" s="705" t="str">
        <f ca="1">IF(ROWS($1:9)&gt;COUNT(Dong7),"",OFFSET(TH!E$1,SMALL(Dong7,ROWS($1:9)),))</f>
        <v/>
      </c>
      <c r="D24" s="706" t="str">
        <f ca="1">IF(ROWS($1:9)&gt;COUNT(Dong7),"",OFFSET(TH!F$1,SMALL(Dong7,ROWS($1:9)),))</f>
        <v/>
      </c>
      <c r="E24" s="705" t="str">
        <f ca="1">IF(ROWS($1:9)&gt;COUNT(Dong7),"",OFFSET(TH!M$1,SMALL(Dong7,ROWS($1:9)),))</f>
        <v/>
      </c>
      <c r="F24" s="707" t="str">
        <f ca="1">IF(ROWS($1:9)&gt;COUNT(Dong7),"",OFFSET(TH!K$1,SMALL(Dong7,ROWS($1:9)),))</f>
        <v/>
      </c>
      <c r="G24" s="707">
        <f t="shared" ca="1" si="0"/>
        <v>0</v>
      </c>
      <c r="H24" s="707">
        <f t="shared" ca="1" si="0"/>
        <v>0</v>
      </c>
      <c r="I24" s="707">
        <f t="shared" ca="1" si="0"/>
        <v>0</v>
      </c>
      <c r="J24" s="707">
        <f t="shared" ca="1" si="0"/>
        <v>0</v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IF(ROWS($1:10)&gt;COUNT(Dong7),"",OFFSET(TH!C$1,SMALL(Dong7,ROWS($1:10)),))</f>
        <v/>
      </c>
      <c r="B25" s="705" t="str">
        <f ca="1">IF(ROWS($1:10)&gt;COUNT(Dong7),"",OFFSET(TH!D$1,SMALL(Dong7,ROWS($1:10)),))</f>
        <v/>
      </c>
      <c r="C25" s="705" t="str">
        <f ca="1">IF(ROWS($1:10)&gt;COUNT(Dong7),"",OFFSET(TH!E$1,SMALL(Dong7,ROWS($1:10)),))</f>
        <v/>
      </c>
      <c r="D25" s="706" t="str">
        <f ca="1">IF(ROWS($1:10)&gt;COUNT(Dong7),"",OFFSET(TH!F$1,SMALL(Dong7,ROWS($1:10)),))</f>
        <v/>
      </c>
      <c r="E25" s="705" t="str">
        <f ca="1">IF(ROWS($1:10)&gt;COUNT(Dong7),"",OFFSET(TH!M$1,SMALL(Dong7,ROWS($1:10)),))</f>
        <v/>
      </c>
      <c r="F25" s="707" t="str">
        <f ca="1">IF(ROWS($1:10)&gt;COUNT(Dong7),"",OFFSET(TH!K$1,SMALL(Dong7,ROWS($1:10)),))</f>
        <v/>
      </c>
      <c r="G25" s="707">
        <f t="shared" ca="1" si="0"/>
        <v>0</v>
      </c>
      <c r="H25" s="707">
        <f t="shared" ca="1" si="0"/>
        <v>0</v>
      </c>
      <c r="I25" s="707">
        <f t="shared" ca="1" si="0"/>
        <v>0</v>
      </c>
      <c r="J25" s="707">
        <f t="shared" ca="1" si="0"/>
        <v>0</v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 t="str">
        <f ca="1">IF(ROWS($1:11)&gt;COUNT(Dong7),"",OFFSET(TH!C$1,SMALL(Dong7,ROWS($1:11)),))</f>
        <v/>
      </c>
      <c r="B26" s="705" t="str">
        <f ca="1">IF(ROWS($1:11)&gt;COUNT(Dong7),"",OFFSET(TH!D$1,SMALL(Dong7,ROWS($1:11)),))</f>
        <v/>
      </c>
      <c r="C26" s="705" t="str">
        <f ca="1">IF(ROWS($1:11)&gt;COUNT(Dong7),"",OFFSET(TH!E$1,SMALL(Dong7,ROWS($1:11)),))</f>
        <v/>
      </c>
      <c r="D26" s="706" t="str">
        <f ca="1">IF(ROWS($1:11)&gt;COUNT(Dong7),"",OFFSET(TH!F$1,SMALL(Dong7,ROWS($1:11)),))</f>
        <v/>
      </c>
      <c r="E26" s="705" t="str">
        <f ca="1">IF(ROWS($1:11)&gt;COUNT(Dong7),"",OFFSET(TH!M$1,SMALL(Dong7,ROWS($1:11)),))</f>
        <v/>
      </c>
      <c r="F26" s="707" t="str">
        <f ca="1">IF(ROWS($1:11)&gt;COUNT(Dong7),"",OFFSET(TH!K$1,SMALL(Dong7,ROWS($1:11)),))</f>
        <v/>
      </c>
      <c r="G26" s="707">
        <f t="shared" ca="1" si="0"/>
        <v>0</v>
      </c>
      <c r="H26" s="707">
        <f t="shared" ca="1" si="0"/>
        <v>0</v>
      </c>
      <c r="I26" s="707">
        <f t="shared" ca="1" si="0"/>
        <v>0</v>
      </c>
      <c r="J26" s="707">
        <f t="shared" ca="1" si="0"/>
        <v>0</v>
      </c>
      <c r="K26" s="707" t="str">
        <f t="shared" ca="1" si="1"/>
        <v/>
      </c>
      <c r="L26" s="707" t="str">
        <f t="shared" ca="1" si="1"/>
        <v/>
      </c>
    </row>
    <row r="27" spans="1:12" ht="21.75" customHeight="1">
      <c r="A27" s="705" t="str">
        <f ca="1">IF(ROWS($1:12)&gt;COUNT(Dong7),"",OFFSET(TH!C$1,SMALL(Dong7,ROWS($1:12)),))</f>
        <v/>
      </c>
      <c r="B27" s="705" t="str">
        <f ca="1">IF(ROWS($1:12)&gt;COUNT(Dong7),"",OFFSET(TH!D$1,SMALL(Dong7,ROWS($1:12)),))</f>
        <v/>
      </c>
      <c r="C27" s="705" t="str">
        <f ca="1">IF(ROWS($1:12)&gt;COUNT(Dong7),"",OFFSET(TH!E$1,SMALL(Dong7,ROWS($1:12)),))</f>
        <v/>
      </c>
      <c r="D27" s="706" t="str">
        <f ca="1">IF(ROWS($1:12)&gt;COUNT(Dong7),"",OFFSET(TH!F$1,SMALL(Dong7,ROWS($1:12)),))</f>
        <v/>
      </c>
      <c r="E27" s="705" t="str">
        <f ca="1">IF(ROWS($1:12)&gt;COUNT(Dong7),"",OFFSET(TH!M$1,SMALL(Dong7,ROWS($1:12)),))</f>
        <v/>
      </c>
      <c r="F27" s="707" t="str">
        <f ca="1">IF(ROWS($1:12)&gt;COUNT(Dong7),"",OFFSET(TH!K$1,SMALL(Dong7,ROWS($1:12)),))</f>
        <v/>
      </c>
      <c r="G27" s="707">
        <f t="shared" ca="1" si="0"/>
        <v>0</v>
      </c>
      <c r="H27" s="707">
        <f t="shared" ca="1" si="0"/>
        <v>0</v>
      </c>
      <c r="I27" s="707">
        <f t="shared" ca="1" si="0"/>
        <v>0</v>
      </c>
      <c r="J27" s="707">
        <f t="shared" ca="1" si="0"/>
        <v>0</v>
      </c>
      <c r="K27" s="707" t="str">
        <f t="shared" ca="1" si="1"/>
        <v/>
      </c>
      <c r="L27" s="707" t="str">
        <f t="shared" ca="1" si="1"/>
        <v/>
      </c>
    </row>
    <row r="28" spans="1:12" ht="21.75" customHeight="1">
      <c r="A28" s="705" t="str">
        <f ca="1">IF(ROWS($1:13)&gt;COUNT(Dong7),"",OFFSET(TH!C$1,SMALL(Dong7,ROWS($1:13)),))</f>
        <v/>
      </c>
      <c r="B28" s="705" t="str">
        <f ca="1">IF(ROWS($1:13)&gt;COUNT(Dong7),"",OFFSET(TH!D$1,SMALL(Dong7,ROWS($1:13)),))</f>
        <v/>
      </c>
      <c r="C28" s="705" t="str">
        <f ca="1">IF(ROWS($1:13)&gt;COUNT(Dong7),"",OFFSET(TH!E$1,SMALL(Dong7,ROWS($1:13)),))</f>
        <v/>
      </c>
      <c r="D28" s="706" t="str">
        <f ca="1">IF(ROWS($1:13)&gt;COUNT(Dong7),"",OFFSET(TH!F$1,SMALL(Dong7,ROWS($1:13)),))</f>
        <v/>
      </c>
      <c r="E28" s="705" t="str">
        <f ca="1">IF(ROWS($1:13)&gt;COUNT(Dong7),"",OFFSET(TH!M$1,SMALL(Dong7,ROWS($1:13)),))</f>
        <v/>
      </c>
      <c r="F28" s="707" t="str">
        <f ca="1">IF(ROWS($1:13)&gt;COUNT(Dong7),"",OFFSET(TH!K$1,SMALL(Dong7,ROWS($1:13)),))</f>
        <v/>
      </c>
      <c r="G28" s="707">
        <f t="shared" ca="1" si="0"/>
        <v>0</v>
      </c>
      <c r="H28" s="707">
        <f t="shared" ca="1" si="0"/>
        <v>0</v>
      </c>
      <c r="I28" s="707">
        <f t="shared" ca="1" si="0"/>
        <v>0</v>
      </c>
      <c r="J28" s="707">
        <f t="shared" ca="1" si="0"/>
        <v>0</v>
      </c>
      <c r="K28" s="707" t="str">
        <f t="shared" ca="1" si="1"/>
        <v/>
      </c>
      <c r="L28" s="707" t="str">
        <f t="shared" ca="1" si="1"/>
        <v/>
      </c>
    </row>
    <row r="29" spans="1:12" ht="21.75" customHeight="1">
      <c r="A29" s="705" t="str">
        <f ca="1">IF(ROWS($1:14)&gt;COUNT(Dong7),"",OFFSET(TH!C$1,SMALL(Dong7,ROWS($1:14)),))</f>
        <v/>
      </c>
      <c r="B29" s="705" t="str">
        <f ca="1">IF(ROWS($1:14)&gt;COUNT(Dong7),"",OFFSET(TH!D$1,SMALL(Dong7,ROWS($1:14)),))</f>
        <v/>
      </c>
      <c r="C29" s="705" t="str">
        <f ca="1">IF(ROWS($1:14)&gt;COUNT(Dong7),"",OFFSET(TH!E$1,SMALL(Dong7,ROWS($1:14)),))</f>
        <v/>
      </c>
      <c r="D29" s="706" t="str">
        <f ca="1">IF(ROWS($1:14)&gt;COUNT(Dong7),"",OFFSET(TH!F$1,SMALL(Dong7,ROWS($1:14)),))</f>
        <v/>
      </c>
      <c r="E29" s="705" t="str">
        <f ca="1">IF(ROWS($1:14)&gt;COUNT(Dong7),"",OFFSET(TH!M$1,SMALL(Dong7,ROWS($1:14)),))</f>
        <v/>
      </c>
      <c r="F29" s="707" t="str">
        <f ca="1">IF(ROWS($1:14)&gt;COUNT(Dong7),"",OFFSET(TH!K$1,SMALL(Dong7,ROWS($1:14)),))</f>
        <v/>
      </c>
      <c r="G29" s="707">
        <f t="shared" ca="1" si="0"/>
        <v>0</v>
      </c>
      <c r="H29" s="707">
        <f t="shared" ca="1" si="0"/>
        <v>0</v>
      </c>
      <c r="I29" s="707">
        <f t="shared" ca="1" si="0"/>
        <v>0</v>
      </c>
      <c r="J29" s="707">
        <f t="shared" ca="1" si="0"/>
        <v>0</v>
      </c>
      <c r="K29" s="707" t="str">
        <f t="shared" ca="1" si="1"/>
        <v/>
      </c>
      <c r="L29" s="707" t="str">
        <f t="shared" ca="1" si="1"/>
        <v/>
      </c>
    </row>
    <row r="30" spans="1:12" ht="21.75" customHeight="1">
      <c r="A30" s="705" t="str">
        <f ca="1">IF(ROWS($1:15)&gt;COUNT(Dong7),"",OFFSET(TH!C$1,SMALL(Dong7,ROWS($1:15)),))</f>
        <v/>
      </c>
      <c r="B30" s="705" t="str">
        <f ca="1">IF(ROWS($1:15)&gt;COUNT(Dong7),"",OFFSET(TH!D$1,SMALL(Dong7,ROWS($1:15)),))</f>
        <v/>
      </c>
      <c r="C30" s="705" t="str">
        <f ca="1">IF(ROWS($1:15)&gt;COUNT(Dong7),"",OFFSET(TH!E$1,SMALL(Dong7,ROWS($1:15)),))</f>
        <v/>
      </c>
      <c r="D30" s="706" t="str">
        <f ca="1">IF(ROWS($1:15)&gt;COUNT(Dong7),"",OFFSET(TH!F$1,SMALL(Dong7,ROWS($1:15)),))</f>
        <v/>
      </c>
      <c r="E30" s="705" t="str">
        <f ca="1">IF(ROWS($1:15)&gt;COUNT(Dong7),"",OFFSET(TH!M$1,SMALL(Dong7,ROWS($1:15)),))</f>
        <v/>
      </c>
      <c r="F30" s="707" t="str">
        <f ca="1">IF(ROWS($1:15)&gt;COUNT(Dong7),"",OFFSET(TH!K$1,SMALL(Dong7,ROWS($1:15)),))</f>
        <v/>
      </c>
      <c r="G30" s="707">
        <f t="shared" ca="1" si="0"/>
        <v>0</v>
      </c>
      <c r="H30" s="707">
        <f t="shared" ca="1" si="0"/>
        <v>0</v>
      </c>
      <c r="I30" s="707">
        <f t="shared" ca="1" si="0"/>
        <v>0</v>
      </c>
      <c r="J30" s="707">
        <f t="shared" ca="1" si="0"/>
        <v>0</v>
      </c>
      <c r="K30" s="707" t="str">
        <f t="shared" ca="1" si="1"/>
        <v/>
      </c>
      <c r="L30" s="707" t="str">
        <f t="shared" ca="1" si="1"/>
        <v/>
      </c>
    </row>
    <row r="31" spans="1:12" ht="21.75" customHeight="1">
      <c r="A31" s="705"/>
      <c r="B31" s="708"/>
      <c r="C31" s="705"/>
      <c r="D31" s="709"/>
      <c r="E31" s="710"/>
      <c r="F31" s="711"/>
      <c r="G31" s="711"/>
      <c r="H31" s="711"/>
      <c r="I31" s="711"/>
      <c r="J31" s="711"/>
      <c r="K31" s="711"/>
      <c r="L31" s="711"/>
    </row>
    <row r="32" spans="1:12" ht="21.75" customHeight="1">
      <c r="A32" s="705"/>
      <c r="B32" s="708"/>
      <c r="C32" s="705"/>
      <c r="D32" s="703" t="s">
        <v>133</v>
      </c>
      <c r="E32" s="702" t="s">
        <v>19</v>
      </c>
      <c r="F32" s="704">
        <f ca="1">SUM(F15:F31)</f>
        <v>30000</v>
      </c>
      <c r="G32" s="704">
        <f t="shared" ref="G32:L32" ca="1" si="2">SUM(G15:G31)</f>
        <v>0</v>
      </c>
      <c r="H32" s="704">
        <f t="shared" ca="1" si="2"/>
        <v>30000</v>
      </c>
      <c r="I32" s="704">
        <f t="shared" ca="1" si="2"/>
        <v>0</v>
      </c>
      <c r="J32" s="704">
        <f t="shared" ca="1" si="2"/>
        <v>0</v>
      </c>
      <c r="K32" s="704">
        <f t="shared" ca="1" si="2"/>
        <v>0</v>
      </c>
      <c r="L32" s="704">
        <f t="shared" ca="1" si="2"/>
        <v>0</v>
      </c>
    </row>
    <row r="33" spans="1:12" ht="21.75" customHeight="1">
      <c r="A33" s="712"/>
      <c r="B33" s="710"/>
      <c r="C33" s="712"/>
      <c r="D33" s="713" t="s">
        <v>402</v>
      </c>
      <c r="E33" s="708"/>
      <c r="F33" s="714">
        <f ca="1">SUM(G33:L33)</f>
        <v>30000</v>
      </c>
      <c r="G33" s="714">
        <f t="shared" ref="G33:L33" ca="1" si="3">G32</f>
        <v>0</v>
      </c>
      <c r="H33" s="714">
        <f t="shared" ca="1" si="3"/>
        <v>30000</v>
      </c>
      <c r="I33" s="714">
        <f t="shared" ca="1" si="3"/>
        <v>0</v>
      </c>
      <c r="J33" s="714">
        <f t="shared" ca="1" si="3"/>
        <v>0</v>
      </c>
      <c r="K33" s="714">
        <f t="shared" ca="1" si="3"/>
        <v>0</v>
      </c>
      <c r="L33" s="714">
        <f t="shared" ca="1" si="3"/>
        <v>0</v>
      </c>
    </row>
    <row r="34" spans="1:12" ht="21.75" customHeight="1">
      <c r="A34" s="715"/>
      <c r="B34" s="715"/>
      <c r="C34" s="715"/>
      <c r="D34" s="716" t="s">
        <v>10</v>
      </c>
      <c r="E34" s="715" t="s">
        <v>19</v>
      </c>
      <c r="F34" s="717">
        <f t="shared" ref="F34:L34" ca="1" si="4">F15+F32-F33</f>
        <v>0</v>
      </c>
      <c r="G34" s="717">
        <f t="shared" ca="1" si="4"/>
        <v>0</v>
      </c>
      <c r="H34" s="717">
        <f t="shared" ca="1" si="4"/>
        <v>0</v>
      </c>
      <c r="I34" s="717">
        <f t="shared" ca="1" si="4"/>
        <v>0</v>
      </c>
      <c r="J34" s="717">
        <f t="shared" ca="1" si="4"/>
        <v>0</v>
      </c>
      <c r="K34" s="717">
        <f t="shared" ca="1" si="4"/>
        <v>0</v>
      </c>
      <c r="L34" s="717">
        <f t="shared" ca="1" si="4"/>
        <v>0</v>
      </c>
    </row>
    <row r="36" spans="1:12">
      <c r="B36" s="718"/>
      <c r="C36" s="698" t="s">
        <v>395</v>
      </c>
    </row>
    <row r="37" spans="1:12">
      <c r="C37" s="698" t="str">
        <f ca="1">"- Ngày mở sổ: "&amp;"01/"&amp;MONTH(A16)&amp;"/"&amp;YEAR(A16)</f>
        <v>- Ngày mở sổ: 01/5/2016</v>
      </c>
    </row>
    <row r="38" spans="1:12">
      <c r="E38" s="697"/>
      <c r="F38" s="697"/>
      <c r="G38" s="697"/>
      <c r="H38" s="697"/>
      <c r="I38" s="697"/>
      <c r="J38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0"/>
      <c r="L38" s="1100"/>
    </row>
    <row r="39" spans="1:12">
      <c r="B39" s="697"/>
      <c r="C39" s="694" t="s">
        <v>11</v>
      </c>
      <c r="D39" s="697"/>
      <c r="E39" s="697"/>
      <c r="F39" s="697"/>
      <c r="G39" s="697"/>
      <c r="H39" s="697"/>
      <c r="I39" s="697"/>
      <c r="J39" s="1100" t="s">
        <v>12</v>
      </c>
      <c r="K39" s="1100"/>
      <c r="L39" s="1100"/>
    </row>
    <row r="40" spans="1:12">
      <c r="B40" s="697"/>
      <c r="C40" s="694" t="s">
        <v>13</v>
      </c>
      <c r="D40" s="697"/>
      <c r="E40" s="697"/>
      <c r="F40" s="697"/>
      <c r="G40" s="697"/>
      <c r="H40" s="697"/>
      <c r="I40" s="697"/>
      <c r="J40" s="1144" t="s">
        <v>13</v>
      </c>
      <c r="K40" s="1144"/>
      <c r="L40" s="1144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9" customWidth="1"/>
    <col min="3" max="3" width="8.5703125" style="779" customWidth="1"/>
    <col min="4" max="4" width="51.42578125" style="779" customWidth="1"/>
    <col min="5" max="5" width="8" style="779" customWidth="1"/>
    <col min="6" max="6" width="12.28515625" style="779" bestFit="1" customWidth="1"/>
    <col min="7" max="7" width="10.140625" style="779" customWidth="1"/>
    <col min="8" max="8" width="10.7109375" style="779" customWidth="1"/>
    <col min="9" max="9" width="11.42578125" style="779" customWidth="1"/>
    <col min="10" max="10" width="11.5703125" style="779" customWidth="1"/>
    <col min="11" max="11" width="11.42578125" style="779" customWidth="1"/>
    <col min="12" max="12" width="9.42578125" style="779" customWidth="1"/>
    <col min="13" max="13" width="6.7109375" style="779" customWidth="1"/>
    <col min="14" max="16384" width="9.140625" style="779"/>
  </cols>
  <sheetData>
    <row r="2" spans="1:15">
      <c r="A2" s="693" t="str">
        <f>'632'!A2</f>
        <v>Đơn vị: CÔNG TY TNHH SX TM KIM DUNG PHÁT</v>
      </c>
      <c r="F2" s="778"/>
      <c r="G2" s="778"/>
      <c r="H2" s="1142" t="s">
        <v>382</v>
      </c>
      <c r="I2" s="1142"/>
      <c r="J2" s="1142"/>
      <c r="K2" s="1142"/>
      <c r="L2" s="719"/>
    </row>
    <row r="3" spans="1:15" ht="15" customHeight="1">
      <c r="A3" s="723" t="str">
        <f>'632'!A3</f>
        <v>Địa chỉ: 1A227/1 Ấp 1, Phạm Văn Hai, Bình Chánh, TPHCM</v>
      </c>
      <c r="H3" s="1145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45"/>
      <c r="J3" s="1145"/>
      <c r="K3" s="1145"/>
      <c r="L3" s="697"/>
    </row>
    <row r="4" spans="1:15">
      <c r="H4" s="1145"/>
      <c r="I4" s="1145"/>
      <c r="J4" s="1145"/>
      <c r="K4" s="1145"/>
      <c r="L4" s="697"/>
    </row>
    <row r="5" spans="1:15" ht="19.5" customHeight="1">
      <c r="A5" s="1143" t="s">
        <v>383</v>
      </c>
      <c r="B5" s="1143"/>
      <c r="C5" s="1143"/>
      <c r="D5" s="1143"/>
      <c r="E5" s="1143"/>
      <c r="F5" s="1143"/>
      <c r="G5" s="1143"/>
      <c r="H5" s="1143"/>
      <c r="I5" s="1143"/>
      <c r="J5" s="1143"/>
      <c r="K5" s="1143"/>
      <c r="L5" s="1143"/>
      <c r="M5" s="696" t="s">
        <v>261</v>
      </c>
      <c r="N5" s="627">
        <f>IF(N13="Quý I",1,IF(N13="Quý II",4,IF(N13="Quý III",7,IF(N13="Quý IV",10,""))))</f>
        <v>7</v>
      </c>
      <c r="O5" s="627">
        <f>IF(N13="Quý I",3,IF(N13="Quý II",6,IF(N13="Quý III",9,IF(N13="Quý IV",12,""))))</f>
        <v>9</v>
      </c>
    </row>
    <row r="6" spans="1:15">
      <c r="A6" s="1144" t="s">
        <v>384</v>
      </c>
      <c r="B6" s="1144"/>
      <c r="C6" s="1144"/>
      <c r="D6" s="1144"/>
      <c r="E6" s="1144"/>
      <c r="F6" s="1144"/>
      <c r="G6" s="1144"/>
      <c r="H6" s="1144"/>
      <c r="I6" s="1144"/>
      <c r="J6" s="1144"/>
      <c r="K6" s="1144"/>
      <c r="L6" s="1144"/>
    </row>
    <row r="7" spans="1:15">
      <c r="B7" s="697"/>
      <c r="C7" s="697"/>
      <c r="D7" s="697"/>
      <c r="E7" s="698" t="s">
        <v>409</v>
      </c>
      <c r="G7" s="697"/>
      <c r="H7" s="697"/>
      <c r="I7" s="697"/>
      <c r="J7" s="697"/>
      <c r="K7" s="697"/>
      <c r="L7" s="697"/>
      <c r="M7" s="724"/>
    </row>
    <row r="8" spans="1:15">
      <c r="B8" s="697"/>
      <c r="C8" s="697"/>
      <c r="D8" s="697"/>
      <c r="E8" s="698" t="s">
        <v>386</v>
      </c>
      <c r="G8" s="697"/>
      <c r="H8" s="697"/>
      <c r="I8" s="697"/>
      <c r="J8" s="697"/>
      <c r="K8" s="697"/>
      <c r="L8" s="697"/>
    </row>
    <row r="9" spans="1:15">
      <c r="B9" s="699"/>
      <c r="C9" s="699"/>
      <c r="D9" s="699"/>
      <c r="E9" s="698" t="s">
        <v>387</v>
      </c>
      <c r="G9" s="699"/>
      <c r="H9" s="699"/>
      <c r="I9" s="699"/>
      <c r="J9" s="699"/>
      <c r="K9" s="699"/>
      <c r="L9" s="699"/>
    </row>
    <row r="10" spans="1:15" ht="9" customHeight="1">
      <c r="C10" s="1141"/>
      <c r="D10" s="1141"/>
      <c r="E10" s="1141"/>
      <c r="F10" s="1141"/>
      <c r="G10" s="1141"/>
      <c r="H10" s="1141"/>
      <c r="I10" s="1141"/>
      <c r="J10" s="1141"/>
      <c r="K10" s="1141"/>
      <c r="L10" s="1141"/>
    </row>
    <row r="11" spans="1:15" ht="15.75" customHeight="1">
      <c r="A11" s="1146" t="s">
        <v>20</v>
      </c>
      <c r="B11" s="1147" t="s">
        <v>1</v>
      </c>
      <c r="C11" s="1147"/>
      <c r="D11" s="1146" t="s">
        <v>0</v>
      </c>
      <c r="E11" s="1146" t="s">
        <v>216</v>
      </c>
      <c r="F11" s="1147" t="s">
        <v>408</v>
      </c>
      <c r="G11" s="1147"/>
      <c r="H11" s="1147"/>
      <c r="I11" s="1147"/>
      <c r="J11" s="1147"/>
      <c r="K11" s="1147"/>
      <c r="L11" s="1147"/>
    </row>
    <row r="12" spans="1:15" ht="15.75" customHeight="1" thickBot="1">
      <c r="A12" s="1146"/>
      <c r="B12" s="1148" t="s">
        <v>15</v>
      </c>
      <c r="C12" s="1148" t="s">
        <v>32</v>
      </c>
      <c r="D12" s="1146"/>
      <c r="E12" s="1146"/>
      <c r="F12" s="1148" t="s">
        <v>389</v>
      </c>
      <c r="G12" s="1148" t="s">
        <v>390</v>
      </c>
      <c r="H12" s="1148"/>
      <c r="I12" s="1148"/>
      <c r="J12" s="1148"/>
      <c r="K12" s="1148"/>
      <c r="L12" s="1148"/>
    </row>
    <row r="13" spans="1:15" ht="29.25" customHeight="1" thickBot="1">
      <c r="A13" s="1146"/>
      <c r="B13" s="1148"/>
      <c r="C13" s="1148"/>
      <c r="D13" s="1146"/>
      <c r="E13" s="1146"/>
      <c r="F13" s="1148"/>
      <c r="G13" s="720" t="s">
        <v>47</v>
      </c>
      <c r="H13" s="720" t="s">
        <v>24</v>
      </c>
      <c r="I13" s="720"/>
      <c r="J13" s="720"/>
      <c r="K13" s="720"/>
      <c r="L13" s="720"/>
      <c r="N13" s="722" t="s">
        <v>411</v>
      </c>
    </row>
    <row r="14" spans="1:15">
      <c r="A14" s="780" t="s">
        <v>2</v>
      </c>
      <c r="B14" s="780" t="s">
        <v>3</v>
      </c>
      <c r="C14" s="780" t="s">
        <v>4</v>
      </c>
      <c r="D14" s="780" t="s">
        <v>5</v>
      </c>
      <c r="E14" s="780" t="s">
        <v>6</v>
      </c>
      <c r="F14" s="780">
        <v>1</v>
      </c>
      <c r="G14" s="780">
        <v>2</v>
      </c>
      <c r="H14" s="780">
        <v>3</v>
      </c>
      <c r="I14" s="780">
        <v>4</v>
      </c>
      <c r="J14" s="780">
        <v>5</v>
      </c>
      <c r="K14" s="780">
        <v>6</v>
      </c>
      <c r="L14" s="780">
        <v>7</v>
      </c>
    </row>
    <row r="15" spans="1:15" ht="21.75" customHeight="1">
      <c r="A15" s="702"/>
      <c r="B15" s="702"/>
      <c r="C15" s="702"/>
      <c r="D15" s="703" t="s">
        <v>7</v>
      </c>
      <c r="E15" s="702"/>
      <c r="F15" s="704"/>
      <c r="G15" s="704"/>
      <c r="H15" s="704"/>
      <c r="I15" s="704"/>
      <c r="J15" s="704"/>
      <c r="K15" s="704"/>
      <c r="L15" s="704"/>
    </row>
    <row r="16" spans="1:15" ht="21.75" customHeight="1">
      <c r="A16" s="705">
        <f ca="1">IF(ROWS($1:1)&gt;COUNT(Dong13),"",OFFSET(TH!C$1,SMALL(Dong13,ROWS($1:1)),))</f>
        <v>42566</v>
      </c>
      <c r="B16" s="705" t="str">
        <f ca="1">IF(ROWS($1:1)&gt;COUNT(Dong13),"",OFFSET(TH!D$1,SMALL(Dong13,ROWS($1:1)),))</f>
        <v>C03</v>
      </c>
      <c r="C16" s="705">
        <f ca="1">IF(ROWS($1:1)&gt;COUNT(Dong13),"",OFFSET(TH!E$1,SMALL(Dong13,ROWS($1:1)),))</f>
        <v>42566</v>
      </c>
      <c r="D16" s="706" t="str">
        <f ca="1">IF(ROWS($1:1)&gt;COUNT(Dong13),"",OFFSET(TH!F$1,SMALL(Dong13,ROWS($1:1)),))</f>
        <v>Dầu Do</v>
      </c>
      <c r="E16" s="705" t="str">
        <f ca="1">IF(ROWS($1:1)&gt;COUNT(Dong13),"",OFFSET(TH!M$1,SMALL(Dong13,ROWS($1:1)),))</f>
        <v>1111</v>
      </c>
      <c r="F16" s="784">
        <f ca="1">IF(ROWS($1:1)&gt;COUNT(Dong13),"",OFFSET(TH!K$1,SMALL(Dong13,ROWS($1:1)),))</f>
        <v>1454545</v>
      </c>
      <c r="G16" s="707">
        <f t="shared" ref="G16:J25" ca="1" si="0">IF($E16=G$13,$F16,0)</f>
        <v>1454545</v>
      </c>
      <c r="H16" s="707">
        <f t="shared" ca="1" si="0"/>
        <v>0</v>
      </c>
      <c r="I16" s="707">
        <f t="shared" ca="1" si="0"/>
        <v>0</v>
      </c>
      <c r="J16" s="707">
        <f t="shared" ca="1" si="0"/>
        <v>0</v>
      </c>
      <c r="K16" s="707">
        <f ca="1">IF(LEFT($E16,3)=K$13,$F16,0)</f>
        <v>0</v>
      </c>
      <c r="L16" s="707">
        <f ca="1">IF(LEFT($E16,3)=L$13,$F16,0)</f>
        <v>0</v>
      </c>
    </row>
    <row r="17" spans="1:12" ht="21.75" customHeight="1">
      <c r="A17" s="705">
        <f ca="1">IF(ROWS($1:2)&gt;COUNT(Dong13),"",OFFSET(TH!C$1,SMALL(Dong13,ROWS($1:2)),))</f>
        <v>42581</v>
      </c>
      <c r="B17" s="705" t="str">
        <f ca="1">IF(ROWS($1:2)&gt;COUNT(Dong13),"",OFFSET(TH!D$1,SMALL(Dong13,ROWS($1:2)),))</f>
        <v>C05</v>
      </c>
      <c r="C17" s="705">
        <f ca="1">IF(ROWS($1:2)&gt;COUNT(Dong13),"",OFFSET(TH!E$1,SMALL(Dong13,ROWS($1:2)),))</f>
        <v>42581</v>
      </c>
      <c r="D17" s="706" t="str">
        <f ca="1">IF(ROWS($1:2)&gt;COUNT(Dong13),"",OFFSET(TH!F$1,SMALL(Dong13,ROWS($1:2)),))</f>
        <v>Dầu Do</v>
      </c>
      <c r="E17" s="705" t="str">
        <f ca="1">IF(ROWS($1:2)&gt;COUNT(Dong13),"",OFFSET(TH!M$1,SMALL(Dong13,ROWS($1:2)),))</f>
        <v>1111</v>
      </c>
      <c r="F17" s="784">
        <f ca="1">IF(ROWS($1:2)&gt;COUNT(Dong13),"",OFFSET(TH!K$1,SMALL(Dong13,ROWS($1:2)),))</f>
        <v>2011090</v>
      </c>
      <c r="G17" s="707">
        <f t="shared" ca="1" si="0"/>
        <v>2011090</v>
      </c>
      <c r="H17" s="707">
        <f t="shared" ca="1" si="0"/>
        <v>0</v>
      </c>
      <c r="I17" s="707">
        <f t="shared" ca="1" si="0"/>
        <v>0</v>
      </c>
      <c r="J17" s="707">
        <f t="shared" ca="1" si="0"/>
        <v>0</v>
      </c>
      <c r="K17" s="707">
        <f t="shared" ref="K17:L25" ca="1" si="1">IF(LEFT($E17,3)=K$13,$F17,0)</f>
        <v>0</v>
      </c>
      <c r="L17" s="707">
        <f t="shared" ca="1" si="1"/>
        <v>0</v>
      </c>
    </row>
    <row r="18" spans="1:12" ht="21.75" customHeight="1">
      <c r="A18" s="705">
        <f ca="1">IF(ROWS($1:3)&gt;COUNT(Dong13),"",OFFSET(TH!C$1,SMALL(Dong13,ROWS($1:3)),))</f>
        <v>42581</v>
      </c>
      <c r="B18" s="705" t="str">
        <f ca="1">IF(ROWS($1:3)&gt;COUNT(Dong13),"",OFFSET(TH!D$1,SMALL(Dong13,ROWS($1:3)),))</f>
        <v>C06</v>
      </c>
      <c r="C18" s="705">
        <f ca="1">IF(ROWS($1:3)&gt;COUNT(Dong13),"",OFFSET(TH!E$1,SMALL(Dong13,ROWS($1:3)),))</f>
        <v>42581</v>
      </c>
      <c r="D18" s="706" t="str">
        <f ca="1">IF(ROWS($1:3)&gt;COUNT(Dong13),"",OFFSET(TH!F$1,SMALL(Dong13,ROWS($1:3)),))</f>
        <v>Phí sử dụng đường bộ</v>
      </c>
      <c r="E18" s="705" t="str">
        <f ca="1">IF(ROWS($1:3)&gt;COUNT(Dong13),"",OFFSET(TH!M$1,SMALL(Dong13,ROWS($1:3)),))</f>
        <v>1111</v>
      </c>
      <c r="F18" s="784">
        <f ca="1">IF(ROWS($1:3)&gt;COUNT(Dong13),"",OFFSET(TH!K$1,SMALL(Dong13,ROWS($1:3)),))</f>
        <v>331818</v>
      </c>
      <c r="G18" s="707">
        <f t="shared" ca="1" si="0"/>
        <v>331818</v>
      </c>
      <c r="H18" s="707">
        <f t="shared" ca="1" si="0"/>
        <v>0</v>
      </c>
      <c r="I18" s="707">
        <f t="shared" ca="1" si="0"/>
        <v>0</v>
      </c>
      <c r="J18" s="707">
        <f t="shared" ca="1" si="0"/>
        <v>0</v>
      </c>
      <c r="K18" s="707">
        <f t="shared" ca="1" si="1"/>
        <v>0</v>
      </c>
      <c r="L18" s="707">
        <f t="shared" ca="1" si="1"/>
        <v>0</v>
      </c>
    </row>
    <row r="19" spans="1:12" ht="21.75" customHeight="1">
      <c r="A19" s="705">
        <f ca="1">IF(ROWS($1:4)&gt;COUNT(Dong13),"",OFFSET(TH!C$1,SMALL(Dong13,ROWS($1:4)),))</f>
        <v>42613</v>
      </c>
      <c r="B19" s="705" t="str">
        <f ca="1">IF(ROWS($1:4)&gt;COUNT(Dong13),"",OFFSET(TH!D$1,SMALL(Dong13,ROWS($1:4)),))</f>
        <v>C06</v>
      </c>
      <c r="C19" s="705">
        <f ca="1">IF(ROWS($1:4)&gt;COUNT(Dong13),"",OFFSET(TH!E$1,SMALL(Dong13,ROWS($1:4)),))</f>
        <v>42613</v>
      </c>
      <c r="D19" s="706" t="str">
        <f ca="1">IF(ROWS($1:4)&gt;COUNT(Dong13),"",OFFSET(TH!F$1,SMALL(Dong13,ROWS($1:4)),))</f>
        <v>Phí sử dụng đường bộ</v>
      </c>
      <c r="E19" s="705" t="str">
        <f ca="1">IF(ROWS($1:4)&gt;COUNT(Dong13),"",OFFSET(TH!M$1,SMALL(Dong13,ROWS($1:4)),))</f>
        <v>1111</v>
      </c>
      <c r="F19" s="784">
        <f ca="1">IF(ROWS($1:4)&gt;COUNT(Dong13),"",OFFSET(TH!K$1,SMALL(Dong13,ROWS($1:4)),))</f>
        <v>554545</v>
      </c>
      <c r="G19" s="707">
        <f t="shared" ca="1" si="0"/>
        <v>554545</v>
      </c>
      <c r="H19" s="707">
        <f t="shared" ca="1" si="0"/>
        <v>0</v>
      </c>
      <c r="I19" s="707">
        <f t="shared" ca="1" si="0"/>
        <v>0</v>
      </c>
      <c r="J19" s="707">
        <f t="shared" ca="1" si="0"/>
        <v>0</v>
      </c>
      <c r="K19" s="707">
        <f t="shared" ca="1" si="1"/>
        <v>0</v>
      </c>
      <c r="L19" s="707">
        <f t="shared" ca="1" si="1"/>
        <v>0</v>
      </c>
    </row>
    <row r="20" spans="1:12" ht="21.75" customHeight="1">
      <c r="A20" s="705">
        <f ca="1">IF(ROWS($1:5)&gt;COUNT(Dong13),"",OFFSET(TH!C$1,SMALL(Dong13,ROWS($1:5)),))</f>
        <v>42620</v>
      </c>
      <c r="B20" s="705" t="str">
        <f ca="1">IF(ROWS($1:5)&gt;COUNT(Dong13),"",OFFSET(TH!D$1,SMALL(Dong13,ROWS($1:5)),))</f>
        <v>C11</v>
      </c>
      <c r="C20" s="705">
        <f ca="1">IF(ROWS($1:5)&gt;COUNT(Dong13),"",OFFSET(TH!E$1,SMALL(Dong13,ROWS($1:5)),))</f>
        <v>42620</v>
      </c>
      <c r="D20" s="706" t="str">
        <f ca="1">IF(ROWS($1:5)&gt;COUNT(Dong13),"",OFFSET(TH!F$1,SMALL(Dong13,ROWS($1:5)),))</f>
        <v>Dầu Do</v>
      </c>
      <c r="E20" s="705" t="str">
        <f ca="1">IF(ROWS($1:5)&gt;COUNT(Dong13),"",OFFSET(TH!M$1,SMALL(Dong13,ROWS($1:5)),))</f>
        <v>1111</v>
      </c>
      <c r="F20" s="784">
        <f ca="1">IF(ROWS($1:5)&gt;COUNT(Dong13),"",OFFSET(TH!K$1,SMALL(Dong13,ROWS($1:5)),))</f>
        <v>5638527</v>
      </c>
      <c r="G20" s="707">
        <f t="shared" ca="1" si="0"/>
        <v>5638527</v>
      </c>
      <c r="H20" s="707">
        <f t="shared" ca="1" si="0"/>
        <v>0</v>
      </c>
      <c r="I20" s="707">
        <f t="shared" ca="1" si="0"/>
        <v>0</v>
      </c>
      <c r="J20" s="707">
        <f t="shared" ca="1" si="0"/>
        <v>0</v>
      </c>
      <c r="K20" s="707">
        <f t="shared" ca="1" si="1"/>
        <v>0</v>
      </c>
      <c r="L20" s="707">
        <f t="shared" ca="1" si="1"/>
        <v>0</v>
      </c>
    </row>
    <row r="21" spans="1:12" ht="21.75" customHeight="1">
      <c r="A21" s="705">
        <f ca="1">IF(ROWS($1:6)&gt;COUNT(Dong13),"",OFFSET(TH!C$1,SMALL(Dong13,ROWS($1:6)),))</f>
        <v>42643</v>
      </c>
      <c r="B21" s="705" t="str">
        <f ca="1">IF(ROWS($1:6)&gt;COUNT(Dong13),"",OFFSET(TH!D$1,SMALL(Dong13,ROWS($1:6)),))</f>
        <v>C06</v>
      </c>
      <c r="C21" s="705">
        <f ca="1">IF(ROWS($1:6)&gt;COUNT(Dong13),"",OFFSET(TH!E$1,SMALL(Dong13,ROWS($1:6)),))</f>
        <v>42643</v>
      </c>
      <c r="D21" s="706" t="str">
        <f ca="1">IF(ROWS($1:6)&gt;COUNT(Dong13),"",OFFSET(TH!F$1,SMALL(Dong13,ROWS($1:6)),))</f>
        <v>Phí sử dụng đường bộ</v>
      </c>
      <c r="E21" s="705" t="str">
        <f ca="1">IF(ROWS($1:6)&gt;COUNT(Dong13),"",OFFSET(TH!M$1,SMALL(Dong13,ROWS($1:6)),))</f>
        <v>1111</v>
      </c>
      <c r="F21" s="784">
        <f ca="1">IF(ROWS($1:6)&gt;COUNT(Dong13),"",OFFSET(TH!K$1,SMALL(Dong13,ROWS($1:6)),))</f>
        <v>399999.99999999994</v>
      </c>
      <c r="G21" s="707">
        <f t="shared" ca="1" si="0"/>
        <v>399999.99999999994</v>
      </c>
      <c r="H21" s="707">
        <f t="shared" ca="1" si="0"/>
        <v>0</v>
      </c>
      <c r="I21" s="707">
        <f t="shared" ca="1" si="0"/>
        <v>0</v>
      </c>
      <c r="J21" s="707">
        <f t="shared" ca="1" si="0"/>
        <v>0</v>
      </c>
      <c r="K21" s="707">
        <f t="shared" ca="1" si="1"/>
        <v>0</v>
      </c>
      <c r="L21" s="707">
        <f t="shared" ca="1" si="1"/>
        <v>0</v>
      </c>
    </row>
    <row r="22" spans="1:12" ht="21.75" customHeight="1">
      <c r="A22" s="705" t="str">
        <f ca="1">IF(ROWS($1:7)&gt;COUNT(Dong13),"",OFFSET(TH!C$1,SMALL(Dong13,ROWS($1:7)),))</f>
        <v/>
      </c>
      <c r="B22" s="705" t="str">
        <f ca="1">IF(ROWS($1:7)&gt;COUNT(Dong13),"",OFFSET(TH!D$1,SMALL(Dong13,ROWS($1:7)),))</f>
        <v/>
      </c>
      <c r="C22" s="705" t="str">
        <f ca="1">IF(ROWS($1:7)&gt;COUNT(Dong13),"",OFFSET(TH!E$1,SMALL(Dong13,ROWS($1:7)),))</f>
        <v/>
      </c>
      <c r="D22" s="706" t="str">
        <f ca="1">IF(ROWS($1:7)&gt;COUNT(Dong13),"",OFFSET(TH!F$1,SMALL(Dong13,ROWS($1:7)),))</f>
        <v/>
      </c>
      <c r="E22" s="705" t="str">
        <f ca="1">IF(ROWS($1:7)&gt;COUNT(Dong13),"",OFFSET(TH!M$1,SMALL(Dong13,ROWS($1:7)),))</f>
        <v/>
      </c>
      <c r="F22" s="784" t="str">
        <f ca="1">IF(ROWS($1:7)&gt;COUNT(Dong13),"",OFFSET(TH!K$1,SMALL(Dong13,ROWS($1:7)),))</f>
        <v/>
      </c>
      <c r="G22" s="707">
        <f t="shared" ca="1" si="0"/>
        <v>0</v>
      </c>
      <c r="H22" s="707">
        <f t="shared" ca="1" si="0"/>
        <v>0</v>
      </c>
      <c r="I22" s="707" t="str">
        <f t="shared" ca="1" si="0"/>
        <v/>
      </c>
      <c r="J22" s="707" t="str">
        <f t="shared" ca="1" si="0"/>
        <v/>
      </c>
      <c r="K22" s="707" t="str">
        <f t="shared" ca="1" si="1"/>
        <v/>
      </c>
      <c r="L22" s="707" t="str">
        <f t="shared" ca="1" si="1"/>
        <v/>
      </c>
    </row>
    <row r="23" spans="1:12" ht="21.75" customHeight="1">
      <c r="A23" s="705" t="str">
        <f ca="1">IF(ROWS($1:8)&gt;COUNT(Dong13),"",OFFSET(TH!C$1,SMALL(Dong13,ROWS($1:8)),))</f>
        <v/>
      </c>
      <c r="B23" s="705" t="str">
        <f ca="1">IF(ROWS($1:8)&gt;COUNT(Dong13),"",OFFSET(TH!D$1,SMALL(Dong13,ROWS($1:8)),))</f>
        <v/>
      </c>
      <c r="C23" s="705" t="str">
        <f ca="1">IF(ROWS($1:8)&gt;COUNT(Dong13),"",OFFSET(TH!E$1,SMALL(Dong13,ROWS($1:8)),))</f>
        <v/>
      </c>
      <c r="D23" s="706" t="str">
        <f ca="1">IF(ROWS($1:8)&gt;COUNT(Dong13),"",OFFSET(TH!F$1,SMALL(Dong13,ROWS($1:8)),))</f>
        <v/>
      </c>
      <c r="E23" s="705" t="str">
        <f ca="1">IF(ROWS($1:8)&gt;COUNT(Dong13),"",OFFSET(TH!M$1,SMALL(Dong13,ROWS($1:8)),))</f>
        <v/>
      </c>
      <c r="F23" s="784" t="str">
        <f ca="1">IF(ROWS($1:8)&gt;COUNT(Dong13),"",OFFSET(TH!K$1,SMALL(Dong13,ROWS($1:8)),))</f>
        <v/>
      </c>
      <c r="G23" s="707">
        <f t="shared" ca="1" si="0"/>
        <v>0</v>
      </c>
      <c r="H23" s="707">
        <f t="shared" ca="1" si="0"/>
        <v>0</v>
      </c>
      <c r="I23" s="707" t="str">
        <f t="shared" ca="1" si="0"/>
        <v/>
      </c>
      <c r="J23" s="707" t="str">
        <f t="shared" ca="1" si="0"/>
        <v/>
      </c>
      <c r="K23" s="707" t="str">
        <f t="shared" ca="1" si="1"/>
        <v/>
      </c>
      <c r="L23" s="707" t="str">
        <f t="shared" ca="1" si="1"/>
        <v/>
      </c>
    </row>
    <row r="24" spans="1:12" ht="21.75" customHeight="1">
      <c r="A24" s="705" t="str">
        <f ca="1">IF(ROWS($1:9)&gt;COUNT(Dong13),"",OFFSET(TH!C$1,SMALL(Dong13,ROWS($1:9)),))</f>
        <v/>
      </c>
      <c r="B24" s="705" t="str">
        <f ca="1">IF(ROWS($1:9)&gt;COUNT(Dong13),"",OFFSET(TH!D$1,SMALL(Dong13,ROWS($1:9)),))</f>
        <v/>
      </c>
      <c r="C24" s="705" t="str">
        <f ca="1">IF(ROWS($1:9)&gt;COUNT(Dong13),"",OFFSET(TH!E$1,SMALL(Dong13,ROWS($1:9)),))</f>
        <v/>
      </c>
      <c r="D24" s="706" t="str">
        <f ca="1">IF(ROWS($1:9)&gt;COUNT(Dong13),"",OFFSET(TH!F$1,SMALL(Dong13,ROWS($1:9)),))</f>
        <v/>
      </c>
      <c r="E24" s="705" t="str">
        <f ca="1">IF(ROWS($1:9)&gt;COUNT(Dong13),"",OFFSET(TH!M$1,SMALL(Dong13,ROWS($1:9)),))</f>
        <v/>
      </c>
      <c r="F24" s="784" t="str">
        <f ca="1">IF(ROWS($1:9)&gt;COUNT(Dong13),"",OFFSET(TH!K$1,SMALL(Dong13,ROWS($1:9)),))</f>
        <v/>
      </c>
      <c r="G24" s="707">
        <f t="shared" ca="1" si="0"/>
        <v>0</v>
      </c>
      <c r="H24" s="707">
        <f t="shared" ca="1" si="0"/>
        <v>0</v>
      </c>
      <c r="I24" s="707" t="str">
        <f t="shared" ca="1" si="0"/>
        <v/>
      </c>
      <c r="J24" s="707" t="str">
        <f t="shared" ca="1" si="0"/>
        <v/>
      </c>
      <c r="K24" s="707" t="str">
        <f t="shared" ca="1" si="1"/>
        <v/>
      </c>
      <c r="L24" s="707" t="str">
        <f t="shared" ca="1" si="1"/>
        <v/>
      </c>
    </row>
    <row r="25" spans="1:12" ht="21.75" customHeight="1">
      <c r="A25" s="705" t="str">
        <f ca="1">IF(ROWS($1:10)&gt;COUNT(Dong13),"",OFFSET(TH!C$1,SMALL(Dong13,ROWS($1:10)),))</f>
        <v/>
      </c>
      <c r="B25" s="705" t="str">
        <f ca="1">IF(ROWS($1:10)&gt;COUNT(Dong13),"",OFFSET(TH!D$1,SMALL(Dong13,ROWS($1:10)),))</f>
        <v/>
      </c>
      <c r="C25" s="705" t="str">
        <f ca="1">IF(ROWS($1:10)&gt;COUNT(Dong13),"",OFFSET(TH!E$1,SMALL(Dong13,ROWS($1:10)),))</f>
        <v/>
      </c>
      <c r="D25" s="706" t="str">
        <f ca="1">IF(ROWS($1:10)&gt;COUNT(Dong13),"",OFFSET(TH!F$1,SMALL(Dong13,ROWS($1:10)),))</f>
        <v/>
      </c>
      <c r="E25" s="705" t="str">
        <f ca="1">IF(ROWS($1:10)&gt;COUNT(Dong13),"",OFFSET(TH!M$1,SMALL(Dong13,ROWS($1:10)),))</f>
        <v/>
      </c>
      <c r="F25" s="784" t="str">
        <f ca="1">IF(ROWS($1:10)&gt;COUNT(Dong13),"",OFFSET(TH!K$1,SMALL(Dong13,ROWS($1:10)),))</f>
        <v/>
      </c>
      <c r="G25" s="707">
        <f t="shared" ca="1" si="0"/>
        <v>0</v>
      </c>
      <c r="H25" s="707">
        <f t="shared" ca="1" si="0"/>
        <v>0</v>
      </c>
      <c r="I25" s="707" t="str">
        <f t="shared" ca="1" si="0"/>
        <v/>
      </c>
      <c r="J25" s="707" t="str">
        <f t="shared" ca="1" si="0"/>
        <v/>
      </c>
      <c r="K25" s="707" t="str">
        <f t="shared" ca="1" si="1"/>
        <v/>
      </c>
      <c r="L25" s="707" t="str">
        <f t="shared" ca="1" si="1"/>
        <v/>
      </c>
    </row>
    <row r="26" spans="1:12" ht="21.75" customHeight="1">
      <c r="A26" s="705"/>
      <c r="B26" s="708"/>
      <c r="C26" s="705"/>
      <c r="D26" s="709"/>
      <c r="E26" s="710"/>
      <c r="F26" s="711"/>
      <c r="G26" s="711"/>
      <c r="H26" s="711"/>
      <c r="I26" s="711"/>
      <c r="J26" s="711"/>
      <c r="K26" s="711"/>
      <c r="L26" s="711"/>
    </row>
    <row r="27" spans="1:12" ht="21.75" customHeight="1">
      <c r="A27" s="705"/>
      <c r="B27" s="708"/>
      <c r="C27" s="705"/>
      <c r="D27" s="703" t="s">
        <v>133</v>
      </c>
      <c r="E27" s="702" t="s">
        <v>19</v>
      </c>
      <c r="F27" s="704">
        <f t="shared" ref="F27:L27" ca="1" si="2">SUM(F15:F26)</f>
        <v>10390525</v>
      </c>
      <c r="G27" s="704">
        <f t="shared" ca="1" si="2"/>
        <v>10390525</v>
      </c>
      <c r="H27" s="704">
        <f t="shared" ca="1" si="2"/>
        <v>0</v>
      </c>
      <c r="I27" s="704">
        <f t="shared" ca="1" si="2"/>
        <v>0</v>
      </c>
      <c r="J27" s="704">
        <f t="shared" ca="1" si="2"/>
        <v>0</v>
      </c>
      <c r="K27" s="704">
        <f t="shared" ca="1" si="2"/>
        <v>0</v>
      </c>
      <c r="L27" s="704">
        <f t="shared" ca="1" si="2"/>
        <v>0</v>
      </c>
    </row>
    <row r="28" spans="1:12" ht="21.75" customHeight="1">
      <c r="A28" s="712"/>
      <c r="B28" s="710"/>
      <c r="C28" s="712"/>
      <c r="D28" s="713" t="s">
        <v>410</v>
      </c>
      <c r="E28" s="708"/>
      <c r="F28" s="704">
        <f ca="1">SUM(G28:L28)</f>
        <v>10390525</v>
      </c>
      <c r="G28" s="714">
        <f t="shared" ref="G28:L28" ca="1" si="3">G27</f>
        <v>10390525</v>
      </c>
      <c r="H28" s="714">
        <f t="shared" ca="1" si="3"/>
        <v>0</v>
      </c>
      <c r="I28" s="714">
        <f t="shared" ca="1" si="3"/>
        <v>0</v>
      </c>
      <c r="J28" s="714">
        <f t="shared" ca="1" si="3"/>
        <v>0</v>
      </c>
      <c r="K28" s="714">
        <f t="shared" ca="1" si="3"/>
        <v>0</v>
      </c>
      <c r="L28" s="714">
        <f t="shared" ca="1" si="3"/>
        <v>0</v>
      </c>
    </row>
    <row r="29" spans="1:12" ht="21.75" customHeight="1">
      <c r="A29" s="715"/>
      <c r="B29" s="715"/>
      <c r="C29" s="715"/>
      <c r="D29" s="716" t="s">
        <v>10</v>
      </c>
      <c r="E29" s="715" t="s">
        <v>19</v>
      </c>
      <c r="F29" s="717">
        <f t="shared" ref="F29:L29" ca="1" si="4">F15+F27-F28</f>
        <v>0</v>
      </c>
      <c r="G29" s="717">
        <f t="shared" ca="1" si="4"/>
        <v>0</v>
      </c>
      <c r="H29" s="717">
        <f t="shared" ca="1" si="4"/>
        <v>0</v>
      </c>
      <c r="I29" s="717">
        <f t="shared" ca="1" si="4"/>
        <v>0</v>
      </c>
      <c r="J29" s="717">
        <f t="shared" ca="1" si="4"/>
        <v>0</v>
      </c>
      <c r="K29" s="717">
        <f t="shared" ca="1" si="4"/>
        <v>0</v>
      </c>
      <c r="L29" s="717">
        <f t="shared" ca="1" si="4"/>
        <v>0</v>
      </c>
    </row>
    <row r="31" spans="1:12">
      <c r="B31" s="718"/>
      <c r="C31" s="698" t="s">
        <v>395</v>
      </c>
    </row>
    <row r="32" spans="1:12">
      <c r="C32" s="698" t="str">
        <f ca="1">"- Ngày mở sổ: "&amp;"01/"&amp;MONTH(A16)&amp;"/"&amp;YEAR(A16)</f>
        <v>- Ngày mở sổ: 01/7/2016</v>
      </c>
    </row>
    <row r="33" spans="2:12">
      <c r="E33" s="697"/>
      <c r="F33" s="697"/>
      <c r="G33" s="697"/>
      <c r="H33" s="697"/>
      <c r="I33" s="697"/>
      <c r="J33" s="1100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0"/>
      <c r="L33" s="1100"/>
    </row>
    <row r="34" spans="2:12">
      <c r="B34" s="697"/>
      <c r="C34" s="779" t="s">
        <v>11</v>
      </c>
      <c r="D34" s="697"/>
      <c r="E34" s="697"/>
      <c r="F34" s="697"/>
      <c r="G34" s="697"/>
      <c r="H34" s="697"/>
      <c r="I34" s="697"/>
      <c r="J34" s="1100" t="s">
        <v>12</v>
      </c>
      <c r="K34" s="1100"/>
      <c r="L34" s="1100"/>
    </row>
    <row r="35" spans="2:12">
      <c r="B35" s="697"/>
      <c r="C35" s="779" t="s">
        <v>13</v>
      </c>
      <c r="D35" s="697"/>
      <c r="E35" s="697"/>
      <c r="F35" s="697"/>
      <c r="G35" s="697"/>
      <c r="H35" s="697"/>
      <c r="I35" s="697"/>
      <c r="J35" s="1144" t="s">
        <v>13</v>
      </c>
      <c r="K35" s="1144"/>
      <c r="L35" s="1144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2016-07-12T02:41:57Z</cp:lastPrinted>
  <dcterms:created xsi:type="dcterms:W3CDTF">1996-10-14T23:33:28Z</dcterms:created>
  <dcterms:modified xsi:type="dcterms:W3CDTF">2016-10-24T03:50:51Z</dcterms:modified>
</cp:coreProperties>
</file>