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 concurrentCalc="0"/>
</workbook>
</file>

<file path=xl/calcChain.xml><?xml version="1.0" encoding="utf-8"?>
<calcChain xmlns="http://schemas.openxmlformats.org/spreadsheetml/2006/main">
  <c r="C10" i="34" l="1"/>
  <c r="E43" i="68"/>
  <c r="J186" i="55"/>
  <c r="R10" i="34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B21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B33" i="34"/>
  <c r="R33" i="34"/>
  <c r="B34" i="34"/>
  <c r="R34" i="34"/>
  <c r="B35" i="34"/>
  <c r="R35" i="34"/>
  <c r="R36" i="34"/>
  <c r="R37" i="34"/>
  <c r="R38" i="34"/>
  <c r="R39" i="34"/>
  <c r="R40" i="34"/>
  <c r="C41" i="34"/>
  <c r="B41" i="34"/>
  <c r="R41" i="34"/>
  <c r="C42" i="34"/>
  <c r="B42" i="34"/>
  <c r="R42" i="34"/>
  <c r="C43" i="34"/>
  <c r="B43" i="34"/>
  <c r="R43" i="34"/>
  <c r="C44" i="34"/>
  <c r="B44" i="34"/>
  <c r="R44" i="34"/>
  <c r="C45" i="34"/>
  <c r="B45" i="34"/>
  <c r="R45" i="34"/>
  <c r="C46" i="34"/>
  <c r="B46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/>
  <c r="R104" i="34"/>
  <c r="C105" i="34"/>
  <c r="B105" i="34"/>
  <c r="R105" i="34"/>
  <c r="C106" i="34"/>
  <c r="B106" i="34"/>
  <c r="R106" i="34"/>
  <c r="R107" i="34"/>
  <c r="R108" i="34"/>
  <c r="R109" i="34"/>
  <c r="R110" i="34"/>
  <c r="C111" i="34"/>
  <c r="B111" i="34"/>
  <c r="R111" i="34"/>
  <c r="R112" i="34"/>
  <c r="R113" i="34"/>
  <c r="R114" i="34"/>
  <c r="R115" i="34"/>
  <c r="C116" i="34"/>
  <c r="B116" i="34"/>
  <c r="R116" i="34"/>
  <c r="C117" i="34"/>
  <c r="B117" i="34"/>
  <c r="R117" i="34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/>
  <c r="R133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/>
  <c r="R182" i="34"/>
  <c r="C183" i="34"/>
  <c r="B183" i="34"/>
  <c r="R183" i="34"/>
  <c r="C184" i="34"/>
  <c r="B184" i="34"/>
  <c r="R184" i="34"/>
  <c r="R185" i="34"/>
  <c r="R186" i="34"/>
  <c r="R187" i="34"/>
  <c r="R188" i="34"/>
  <c r="R189" i="34"/>
  <c r="R190" i="34"/>
  <c r="R191" i="34"/>
  <c r="R192" i="34"/>
  <c r="C193" i="34"/>
  <c r="B193" i="34"/>
  <c r="R193" i="34"/>
  <c r="C194" i="34"/>
  <c r="B194" i="34"/>
  <c r="R194" i="34"/>
  <c r="C195" i="34"/>
  <c r="B195" i="34"/>
  <c r="R195" i="34"/>
  <c r="C196" i="34"/>
  <c r="B196" i="34"/>
  <c r="R196" i="34"/>
  <c r="C197" i="34"/>
  <c r="B197" i="34"/>
  <c r="R197" i="34"/>
  <c r="C198" i="34"/>
  <c r="B198" i="34"/>
  <c r="R198" i="34"/>
  <c r="C199" i="34"/>
  <c r="B199" i="34"/>
  <c r="R199" i="34"/>
  <c r="C200" i="34"/>
  <c r="B200" i="34"/>
  <c r="R200" i="34"/>
  <c r="C201" i="34"/>
  <c r="B201" i="34"/>
  <c r="R201" i="34"/>
  <c r="C202" i="34"/>
  <c r="B202" i="34"/>
  <c r="R202" i="34"/>
  <c r="C203" i="34"/>
  <c r="B203" i="34"/>
  <c r="R203" i="34"/>
  <c r="C204" i="34"/>
  <c r="B204" i="34"/>
  <c r="R204" i="34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/>
  <c r="R217" i="34"/>
  <c r="C218" i="34"/>
  <c r="B218" i="34"/>
  <c r="R218" i="34"/>
  <c r="C219" i="34"/>
  <c r="B219" i="34"/>
  <c r="R219" i="34"/>
  <c r="C220" i="34"/>
  <c r="B220" i="34"/>
  <c r="R220" i="34"/>
  <c r="C221" i="34"/>
  <c r="B221" i="34"/>
  <c r="R221" i="34"/>
  <c r="C222" i="34"/>
  <c r="B222" i="34"/>
  <c r="R222" i="34"/>
  <c r="C223" i="34"/>
  <c r="B223" i="34"/>
  <c r="R223" i="34"/>
  <c r="C224" i="34"/>
  <c r="B224" i="34"/>
  <c r="R224" i="34"/>
  <c r="R225" i="34"/>
  <c r="R226" i="34"/>
  <c r="R227" i="34"/>
  <c r="R228" i="34"/>
  <c r="C229" i="34"/>
  <c r="B229" i="34"/>
  <c r="R229" i="34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/>
  <c r="R256" i="34"/>
  <c r="R257" i="34"/>
  <c r="R258" i="34"/>
  <c r="R259" i="34"/>
  <c r="R260" i="34"/>
  <c r="R261" i="34"/>
  <c r="R262" i="34"/>
  <c r="R263" i="34"/>
  <c r="R264" i="34"/>
  <c r="R265" i="34"/>
  <c r="C266" i="34"/>
  <c r="B266" i="34"/>
  <c r="R266" i="34"/>
  <c r="C267" i="34"/>
  <c r="B267" i="34"/>
  <c r="R267" i="34"/>
  <c r="C268" i="34"/>
  <c r="B268" i="34"/>
  <c r="R268" i="34"/>
  <c r="C269" i="34"/>
  <c r="B269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/>
  <c r="R312" i="34"/>
  <c r="C313" i="34"/>
  <c r="B313" i="34"/>
  <c r="R313" i="34"/>
  <c r="C314" i="34"/>
  <c r="B314" i="34"/>
  <c r="R314" i="34"/>
  <c r="C315" i="34"/>
  <c r="B315" i="34"/>
  <c r="R315" i="34"/>
  <c r="C316" i="34"/>
  <c r="B316" i="34"/>
  <c r="R316" i="34"/>
  <c r="R317" i="34"/>
  <c r="R318" i="34"/>
  <c r="R319" i="34"/>
  <c r="R320" i="34"/>
  <c r="R321" i="34"/>
  <c r="C322" i="34"/>
  <c r="B322" i="34"/>
  <c r="R322" i="34"/>
  <c r="C323" i="34"/>
  <c r="B323" i="34"/>
  <c r="R323" i="34"/>
  <c r="C324" i="34"/>
  <c r="B324" i="34"/>
  <c r="R324" i="34"/>
  <c r="C325" i="34"/>
  <c r="B325" i="34"/>
  <c r="R325" i="34"/>
  <c r="C326" i="34"/>
  <c r="B326" i="34"/>
  <c r="R326" i="34"/>
  <c r="C327" i="34"/>
  <c r="B327" i="34"/>
  <c r="R327" i="34"/>
  <c r="R328" i="34"/>
  <c r="R329" i="34"/>
  <c r="R330" i="34"/>
  <c r="R331" i="34"/>
  <c r="C332" i="34"/>
  <c r="B332" i="34"/>
  <c r="R332" i="34"/>
  <c r="R333" i="34"/>
  <c r="R334" i="34"/>
  <c r="R335" i="34"/>
  <c r="R336" i="34"/>
  <c r="C337" i="34"/>
  <c r="B337" i="34"/>
  <c r="R337" i="34"/>
  <c r="C338" i="34"/>
  <c r="B338" i="34"/>
  <c r="R338" i="34"/>
  <c r="R339" i="34"/>
  <c r="R340" i="34"/>
  <c r="R341" i="34"/>
  <c r="R342" i="34"/>
  <c r="R343" i="34"/>
  <c r="R344" i="34"/>
  <c r="R345" i="34"/>
  <c r="R346" i="34"/>
  <c r="C347" i="34"/>
  <c r="B347" i="34"/>
  <c r="R347" i="34"/>
  <c r="C348" i="34"/>
  <c r="B348" i="34"/>
  <c r="R348" i="34"/>
  <c r="C349" i="34"/>
  <c r="B349" i="34"/>
  <c r="R349" i="34"/>
  <c r="C350" i="34"/>
  <c r="B350" i="34"/>
  <c r="R350" i="34"/>
  <c r="C351" i="34"/>
  <c r="B351" i="34"/>
  <c r="R351" i="34"/>
  <c r="C352" i="34"/>
  <c r="B352" i="34"/>
  <c r="R352" i="34"/>
  <c r="C353" i="34"/>
  <c r="B353" i="34"/>
  <c r="R353" i="34"/>
  <c r="R354" i="34"/>
  <c r="R355" i="34"/>
  <c r="R356" i="34"/>
  <c r="C357" i="34"/>
  <c r="B357" i="34"/>
  <c r="R357" i="34"/>
  <c r="C358" i="34"/>
  <c r="B358" i="34"/>
  <c r="R358" i="34"/>
  <c r="C359" i="34"/>
  <c r="B359" i="34"/>
  <c r="R359" i="34"/>
  <c r="C360" i="34"/>
  <c r="B360" i="34"/>
  <c r="R360" i="34"/>
  <c r="C361" i="34"/>
  <c r="B361" i="34"/>
  <c r="R361" i="34"/>
  <c r="C362" i="34"/>
  <c r="B362" i="34"/>
  <c r="R362" i="34"/>
  <c r="C363" i="34"/>
  <c r="B363" i="34"/>
  <c r="R363" i="34"/>
  <c r="R364" i="34"/>
  <c r="R365" i="34"/>
  <c r="R366" i="34"/>
  <c r="R367" i="34"/>
  <c r="C368" i="34"/>
  <c r="B368" i="34"/>
  <c r="R368" i="34"/>
  <c r="C369" i="34"/>
  <c r="B369" i="34"/>
  <c r="R369" i="34"/>
  <c r="C370" i="34"/>
  <c r="B370" i="34"/>
  <c r="R370" i="34"/>
  <c r="C371" i="34"/>
  <c r="B371" i="34"/>
  <c r="R371" i="34"/>
  <c r="C372" i="34"/>
  <c r="B372" i="34"/>
  <c r="R372" i="34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/>
  <c r="R401" i="34"/>
  <c r="R402" i="34"/>
  <c r="R403" i="34"/>
  <c r="R404" i="34"/>
  <c r="R405" i="34"/>
  <c r="R406" i="34"/>
  <c r="C407" i="34"/>
  <c r="B407" i="34"/>
  <c r="R407" i="34"/>
  <c r="R408" i="34"/>
  <c r="R409" i="34"/>
  <c r="C410" i="34"/>
  <c r="B410" i="34"/>
  <c r="R410" i="34"/>
  <c r="C411" i="34"/>
  <c r="B411" i="34"/>
  <c r="R411" i="34"/>
  <c r="C412" i="34"/>
  <c r="B412" i="34"/>
  <c r="R412" i="34"/>
  <c r="C413" i="34"/>
  <c r="B413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/>
  <c r="R433" i="34"/>
  <c r="R434" i="34"/>
  <c r="R435" i="34"/>
  <c r="R436" i="34"/>
  <c r="R437" i="34"/>
  <c r="R438" i="34"/>
  <c r="C439" i="34"/>
  <c r="B439" i="34"/>
  <c r="R439" i="34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/>
  <c r="R451" i="34"/>
  <c r="C452" i="34"/>
  <c r="B452" i="34"/>
  <c r="R452" i="34"/>
  <c r="R453" i="34"/>
  <c r="R454" i="34"/>
  <c r="R455" i="34"/>
  <c r="R456" i="34"/>
  <c r="R457" i="34"/>
  <c r="R458" i="34"/>
  <c r="C459" i="34"/>
  <c r="B459" i="34"/>
  <c r="R459" i="34"/>
  <c r="R460" i="34"/>
  <c r="R461" i="34"/>
  <c r="R462" i="34"/>
  <c r="R463" i="34"/>
  <c r="R464" i="34"/>
  <c r="C465" i="34"/>
  <c r="B465" i="34"/>
  <c r="R465" i="34"/>
  <c r="C466" i="34"/>
  <c r="B466" i="34"/>
  <c r="R466" i="34"/>
  <c r="C467" i="34"/>
  <c r="B467" i="34"/>
  <c r="R467" i="34"/>
  <c r="C468" i="34"/>
  <c r="B468" i="34"/>
  <c r="R468" i="34"/>
  <c r="C469" i="34"/>
  <c r="B469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/>
  <c r="R499" i="34"/>
  <c r="R500" i="34"/>
  <c r="R501" i="34"/>
  <c r="R502" i="34"/>
  <c r="R503" i="34"/>
  <c r="C504" i="34"/>
  <c r="B504" i="34"/>
  <c r="R504" i="34"/>
  <c r="C505" i="34"/>
  <c r="B505" i="34"/>
  <c r="R505" i="34"/>
  <c r="C506" i="34"/>
  <c r="B506" i="34"/>
  <c r="R506" i="34"/>
  <c r="C507" i="34"/>
  <c r="B507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/>
  <c r="R531" i="34"/>
  <c r="R532" i="34"/>
  <c r="R533" i="34"/>
  <c r="R534" i="34"/>
  <c r="C535" i="34"/>
  <c r="B535" i="34"/>
  <c r="R535" i="34"/>
  <c r="C536" i="34"/>
  <c r="B536" i="34"/>
  <c r="R536" i="34"/>
  <c r="C537" i="34"/>
  <c r="B537" i="34"/>
  <c r="R537" i="34"/>
  <c r="C538" i="34"/>
  <c r="B538" i="34"/>
  <c r="R538" i="34"/>
  <c r="R539" i="34"/>
  <c r="R540" i="34"/>
  <c r="R541" i="34"/>
  <c r="R542" i="34"/>
  <c r="R543" i="34"/>
  <c r="C544" i="34"/>
  <c r="B544" i="34"/>
  <c r="R544" i="34"/>
  <c r="C545" i="34"/>
  <c r="B545" i="34"/>
  <c r="R545" i="34"/>
  <c r="C546" i="34"/>
  <c r="B546" i="34"/>
  <c r="R546" i="34"/>
  <c r="C547" i="34"/>
  <c r="B547" i="34"/>
  <c r="R547" i="34"/>
  <c r="C548" i="34"/>
  <c r="B548" i="34"/>
  <c r="R548" i="34"/>
  <c r="C549" i="34"/>
  <c r="B549" i="34"/>
  <c r="R549" i="34"/>
  <c r="R550" i="34"/>
  <c r="R551" i="34"/>
  <c r="C552" i="34"/>
  <c r="B552" i="34"/>
  <c r="R552" i="34"/>
  <c r="C553" i="34"/>
  <c r="B553" i="34"/>
  <c r="R553" i="34"/>
  <c r="C554" i="34"/>
  <c r="B554" i="34"/>
  <c r="R554" i="34"/>
  <c r="C555" i="34"/>
  <c r="B555" i="34"/>
  <c r="R555" i="34"/>
  <c r="C556" i="34"/>
  <c r="B556" i="34"/>
  <c r="R556" i="34"/>
  <c r="C557" i="34"/>
  <c r="B557" i="34"/>
  <c r="R557" i="34"/>
  <c r="C558" i="34"/>
  <c r="B558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/>
  <c r="R577" i="34"/>
  <c r="R578" i="34"/>
  <c r="R579" i="34"/>
  <c r="R580" i="34"/>
  <c r="R581" i="34"/>
  <c r="R582" i="34"/>
  <c r="R583" i="34"/>
  <c r="R584" i="34"/>
  <c r="R585" i="34"/>
  <c r="C586" i="34"/>
  <c r="B586" i="34"/>
  <c r="R586" i="34"/>
  <c r="C587" i="34"/>
  <c r="B587" i="34"/>
  <c r="R587" i="34"/>
  <c r="C588" i="34"/>
  <c r="B588" i="34"/>
  <c r="R588" i="34"/>
  <c r="C589" i="34"/>
  <c r="B589" i="34"/>
  <c r="R589" i="34"/>
  <c r="C590" i="34"/>
  <c r="B590" i="34"/>
  <c r="R590" i="34"/>
  <c r="C591" i="34"/>
  <c r="B591" i="34"/>
  <c r="R591" i="34"/>
  <c r="C592" i="34"/>
  <c r="B592" i="34"/>
  <c r="R592" i="34"/>
  <c r="C593" i="34"/>
  <c r="B593" i="34"/>
  <c r="R593" i="34"/>
  <c r="C594" i="34"/>
  <c r="B594" i="34"/>
  <c r="R594" i="34"/>
  <c r="C595" i="34"/>
  <c r="B595" i="34"/>
  <c r="R595" i="34"/>
  <c r="C596" i="34"/>
  <c r="B596" i="34"/>
  <c r="R596" i="34"/>
  <c r="C597" i="34"/>
  <c r="B597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/>
  <c r="R654" i="34"/>
  <c r="C655" i="34"/>
  <c r="B655" i="34"/>
  <c r="R655" i="34"/>
  <c r="C656" i="34"/>
  <c r="B656" i="34"/>
  <c r="R656" i="34"/>
  <c r="C657" i="34"/>
  <c r="B657" i="34"/>
  <c r="R657" i="34"/>
  <c r="R658" i="34"/>
  <c r="R659" i="34"/>
  <c r="R660" i="34"/>
  <c r="R661" i="34"/>
  <c r="R662" i="34"/>
  <c r="R663" i="34"/>
  <c r="C664" i="34"/>
  <c r="B664" i="34"/>
  <c r="R664" i="34"/>
  <c r="C665" i="34"/>
  <c r="B665" i="34"/>
  <c r="R665" i="34"/>
  <c r="R666" i="34"/>
  <c r="R667" i="34"/>
  <c r="R668" i="34"/>
  <c r="R669" i="34"/>
  <c r="C670" i="34"/>
  <c r="B670" i="34"/>
  <c r="R670" i="34"/>
  <c r="C671" i="34"/>
  <c r="B671" i="34"/>
  <c r="R671" i="34"/>
  <c r="C672" i="34"/>
  <c r="B672" i="34"/>
  <c r="R672" i="34"/>
  <c r="C673" i="34"/>
  <c r="B673" i="34"/>
  <c r="R673" i="34"/>
  <c r="C674" i="34"/>
  <c r="B674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/>
  <c r="R706" i="34"/>
  <c r="C707" i="34"/>
  <c r="B707" i="34"/>
  <c r="R707" i="34"/>
  <c r="C708" i="34"/>
  <c r="B708" i="34"/>
  <c r="R708" i="34"/>
  <c r="C709" i="34"/>
  <c r="B709" i="34"/>
  <c r="R709" i="34"/>
  <c r="R710" i="34"/>
  <c r="R711" i="34"/>
  <c r="R712" i="34"/>
  <c r="C713" i="34"/>
  <c r="B713" i="34"/>
  <c r="R713" i="34"/>
  <c r="C714" i="34"/>
  <c r="B714" i="34"/>
  <c r="R714" i="34"/>
  <c r="C715" i="34"/>
  <c r="B715" i="34"/>
  <c r="R715" i="34"/>
  <c r="C716" i="34"/>
  <c r="B716" i="34"/>
  <c r="R716" i="34"/>
  <c r="C717" i="34"/>
  <c r="B717" i="34"/>
  <c r="R717" i="34"/>
  <c r="C718" i="34"/>
  <c r="B718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/>
  <c r="R734" i="34"/>
  <c r="C735" i="34"/>
  <c r="B735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/>
  <c r="R782" i="34"/>
  <c r="R783" i="34"/>
  <c r="R784" i="34"/>
  <c r="R785" i="34"/>
  <c r="R786" i="34"/>
  <c r="R787" i="34"/>
  <c r="R788" i="34"/>
  <c r="C789" i="34"/>
  <c r="B789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/>
  <c r="R804" i="34"/>
  <c r="C805" i="34"/>
  <c r="B805" i="34"/>
  <c r="R805" i="34"/>
  <c r="R806" i="34"/>
  <c r="R807" i="34"/>
  <c r="R808" i="34"/>
  <c r="R809" i="34"/>
  <c r="R810" i="34"/>
  <c r="C811" i="34"/>
  <c r="B811" i="34"/>
  <c r="R811" i="34"/>
  <c r="C812" i="34"/>
  <c r="B812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/>
  <c r="R828" i="34"/>
  <c r="C829" i="34"/>
  <c r="B829" i="34"/>
  <c r="R829" i="34"/>
  <c r="C830" i="34"/>
  <c r="B830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A94" i="43"/>
  <c r="B94" i="43"/>
  <c r="C94" i="43"/>
  <c r="D94" i="43"/>
  <c r="E94" i="43"/>
  <c r="F94" i="43"/>
  <c r="G94" i="43"/>
  <c r="H94" i="43"/>
  <c r="F19" i="43"/>
  <c r="F20" i="43"/>
  <c r="F21" i="43"/>
  <c r="F22" i="43"/>
  <c r="F23" i="43"/>
  <c r="F24" i="43"/>
  <c r="F25" i="43"/>
  <c r="F26" i="43"/>
  <c r="F27" i="43"/>
  <c r="B17" i="34"/>
  <c r="O17" i="34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/>
  <c r="B37" i="34"/>
  <c r="O37" i="34"/>
  <c r="B38" i="34"/>
  <c r="O38" i="34"/>
  <c r="B39" i="34"/>
  <c r="O39" i="34"/>
  <c r="C40" i="34"/>
  <c r="B40" i="34"/>
  <c r="O40" i="34"/>
  <c r="O41" i="34"/>
  <c r="O42" i="34"/>
  <c r="O43" i="34"/>
  <c r="O44" i="34"/>
  <c r="O45" i="34"/>
  <c r="O46" i="34"/>
  <c r="C47" i="34"/>
  <c r="B47" i="34"/>
  <c r="O47" i="34"/>
  <c r="C48" i="34"/>
  <c r="B48" i="34"/>
  <c r="O48" i="34"/>
  <c r="C49" i="34"/>
  <c r="B49" i="34"/>
  <c r="O49" i="34"/>
  <c r="C50" i="34"/>
  <c r="B50" i="34"/>
  <c r="O50" i="34"/>
  <c r="C51" i="34"/>
  <c r="B51" i="34"/>
  <c r="O51" i="34"/>
  <c r="C52" i="34"/>
  <c r="B52" i="34"/>
  <c r="O52" i="34"/>
  <c r="C53" i="34"/>
  <c r="B53" i="34"/>
  <c r="O53" i="34"/>
  <c r="C54" i="34"/>
  <c r="B54" i="34"/>
  <c r="O54" i="34"/>
  <c r="C55" i="34"/>
  <c r="B55" i="34"/>
  <c r="O55" i="34"/>
  <c r="C56" i="34"/>
  <c r="B56" i="34"/>
  <c r="O56" i="34"/>
  <c r="C57" i="34"/>
  <c r="B57" i="34"/>
  <c r="O57" i="34"/>
  <c r="C58" i="34"/>
  <c r="B58" i="34"/>
  <c r="O58" i="34"/>
  <c r="C59" i="34"/>
  <c r="B59" i="34"/>
  <c r="O59" i="34"/>
  <c r="C60" i="34"/>
  <c r="B60" i="34"/>
  <c r="O60" i="34"/>
  <c r="C61" i="34"/>
  <c r="B61" i="34"/>
  <c r="O61" i="34"/>
  <c r="C62" i="34"/>
  <c r="B62" i="34"/>
  <c r="O62" i="34"/>
  <c r="C63" i="34"/>
  <c r="B63" i="34"/>
  <c r="O63" i="34"/>
  <c r="C64" i="34"/>
  <c r="B64" i="34"/>
  <c r="O64" i="34"/>
  <c r="C65" i="34"/>
  <c r="B65" i="34"/>
  <c r="O65" i="34"/>
  <c r="C66" i="34"/>
  <c r="B66" i="34"/>
  <c r="O66" i="34"/>
  <c r="C67" i="34"/>
  <c r="B67" i="34"/>
  <c r="O67" i="34"/>
  <c r="C68" i="34"/>
  <c r="B68" i="34"/>
  <c r="O68" i="34"/>
  <c r="C69" i="34"/>
  <c r="B69" i="34"/>
  <c r="O69" i="34"/>
  <c r="C70" i="34"/>
  <c r="B70" i="34"/>
  <c r="O70" i="34"/>
  <c r="C71" i="34"/>
  <c r="B71" i="34"/>
  <c r="O71" i="34"/>
  <c r="C72" i="34"/>
  <c r="B72" i="34"/>
  <c r="O72" i="34"/>
  <c r="C73" i="34"/>
  <c r="B73" i="34"/>
  <c r="O73" i="34"/>
  <c r="C74" i="34"/>
  <c r="B74" i="34"/>
  <c r="O74" i="34"/>
  <c r="C75" i="34"/>
  <c r="B75" i="34"/>
  <c r="O75" i="34"/>
  <c r="C76" i="34"/>
  <c r="B76" i="34"/>
  <c r="O76" i="34"/>
  <c r="C77" i="34"/>
  <c r="B77" i="34"/>
  <c r="O77" i="34"/>
  <c r="C78" i="34"/>
  <c r="B78" i="34"/>
  <c r="O78" i="34"/>
  <c r="C79" i="34"/>
  <c r="B79" i="34"/>
  <c r="O79" i="34"/>
  <c r="C80" i="34"/>
  <c r="B80" i="34"/>
  <c r="O80" i="34"/>
  <c r="C81" i="34"/>
  <c r="B81" i="34"/>
  <c r="O81" i="34"/>
  <c r="C82" i="34"/>
  <c r="B82" i="34"/>
  <c r="O82" i="34"/>
  <c r="C83" i="34"/>
  <c r="B83" i="34"/>
  <c r="O83" i="34"/>
  <c r="C84" i="34"/>
  <c r="B84" i="34"/>
  <c r="O84" i="34"/>
  <c r="C85" i="34"/>
  <c r="B85" i="34"/>
  <c r="O85" i="34"/>
  <c r="C86" i="34"/>
  <c r="B86" i="34"/>
  <c r="O86" i="34"/>
  <c r="C87" i="34"/>
  <c r="B87" i="34"/>
  <c r="O87" i="34"/>
  <c r="C88" i="34"/>
  <c r="B88" i="34"/>
  <c r="O88" i="34"/>
  <c r="C89" i="34"/>
  <c r="B89" i="34"/>
  <c r="O89" i="34"/>
  <c r="C90" i="34"/>
  <c r="B90" i="34"/>
  <c r="O90" i="34"/>
  <c r="C91" i="34"/>
  <c r="B91" i="34"/>
  <c r="O91" i="34"/>
  <c r="C92" i="34"/>
  <c r="B92" i="34"/>
  <c r="O92" i="34"/>
  <c r="C93" i="34"/>
  <c r="B93" i="34"/>
  <c r="O93" i="34"/>
  <c r="C94" i="34"/>
  <c r="B94" i="34"/>
  <c r="O94" i="34"/>
  <c r="C95" i="34"/>
  <c r="B95" i="34"/>
  <c r="O95" i="34"/>
  <c r="C96" i="34"/>
  <c r="B96" i="34"/>
  <c r="O96" i="34"/>
  <c r="C97" i="34"/>
  <c r="B97" i="34"/>
  <c r="O97" i="34"/>
  <c r="C98" i="34"/>
  <c r="B98" i="34"/>
  <c r="O98" i="34"/>
  <c r="C99" i="34"/>
  <c r="B99" i="34"/>
  <c r="O99" i="34"/>
  <c r="C100" i="34"/>
  <c r="B100" i="34"/>
  <c r="O100" i="34"/>
  <c r="C101" i="34"/>
  <c r="B101" i="34"/>
  <c r="O101" i="34"/>
  <c r="C102" i="34"/>
  <c r="B102" i="34"/>
  <c r="O102" i="34"/>
  <c r="C103" i="34"/>
  <c r="B103" i="34"/>
  <c r="O103" i="34"/>
  <c r="O104" i="34"/>
  <c r="O105" i="34"/>
  <c r="O106" i="34"/>
  <c r="C107" i="34"/>
  <c r="B107" i="34"/>
  <c r="O107" i="34"/>
  <c r="C108" i="34"/>
  <c r="B108" i="34"/>
  <c r="O108" i="34"/>
  <c r="C109" i="34"/>
  <c r="B109" i="34"/>
  <c r="O109" i="34"/>
  <c r="C110" i="34"/>
  <c r="B110" i="34"/>
  <c r="O110" i="34"/>
  <c r="O111" i="34"/>
  <c r="C112" i="34"/>
  <c r="B112" i="34"/>
  <c r="O112" i="34"/>
  <c r="C113" i="34"/>
  <c r="B113" i="34"/>
  <c r="O113" i="34"/>
  <c r="C114" i="34"/>
  <c r="B114" i="34"/>
  <c r="O114" i="34"/>
  <c r="C115" i="34"/>
  <c r="B115" i="34"/>
  <c r="O115" i="34"/>
  <c r="O116" i="34"/>
  <c r="O117" i="34"/>
  <c r="C118" i="34"/>
  <c r="B118" i="34"/>
  <c r="O118" i="34"/>
  <c r="C119" i="34"/>
  <c r="B119" i="34"/>
  <c r="O119" i="34"/>
  <c r="C120" i="34"/>
  <c r="B120" i="34"/>
  <c r="O120" i="34"/>
  <c r="C121" i="34"/>
  <c r="B121" i="34"/>
  <c r="O121" i="34"/>
  <c r="C122" i="34"/>
  <c r="B122" i="34"/>
  <c r="O122" i="34"/>
  <c r="C123" i="34"/>
  <c r="B123" i="34"/>
  <c r="O123" i="34"/>
  <c r="C124" i="34"/>
  <c r="B124" i="34"/>
  <c r="O124" i="34"/>
  <c r="C125" i="34"/>
  <c r="B125" i="34"/>
  <c r="O125" i="34"/>
  <c r="C126" i="34"/>
  <c r="B126" i="34"/>
  <c r="O126" i="34"/>
  <c r="C127" i="34"/>
  <c r="B127" i="34"/>
  <c r="O127" i="34"/>
  <c r="C128" i="34"/>
  <c r="B128" i="34"/>
  <c r="O128" i="34"/>
  <c r="C129" i="34"/>
  <c r="B129" i="34"/>
  <c r="O129" i="34"/>
  <c r="C130" i="34"/>
  <c r="B130" i="34"/>
  <c r="O130" i="34"/>
  <c r="C131" i="34"/>
  <c r="B131" i="34"/>
  <c r="O131" i="34"/>
  <c r="C132" i="34"/>
  <c r="B132" i="34"/>
  <c r="O132" i="34"/>
  <c r="O133" i="34"/>
  <c r="C134" i="34"/>
  <c r="B134" i="34"/>
  <c r="O134" i="34"/>
  <c r="C135" i="34"/>
  <c r="B135" i="34"/>
  <c r="O135" i="34"/>
  <c r="C136" i="34"/>
  <c r="B136" i="34"/>
  <c r="O136" i="34"/>
  <c r="C137" i="34"/>
  <c r="B137" i="34"/>
  <c r="O137" i="34"/>
  <c r="C138" i="34"/>
  <c r="B138" i="34"/>
  <c r="O138" i="34"/>
  <c r="C139" i="34"/>
  <c r="B139" i="34"/>
  <c r="O139" i="34"/>
  <c r="C140" i="34"/>
  <c r="B140" i="34"/>
  <c r="O140" i="34"/>
  <c r="C141" i="34"/>
  <c r="B141" i="34"/>
  <c r="O141" i="34"/>
  <c r="C142" i="34"/>
  <c r="B142" i="34"/>
  <c r="O142" i="34"/>
  <c r="C143" i="34"/>
  <c r="B143" i="34"/>
  <c r="O143" i="34"/>
  <c r="C144" i="34"/>
  <c r="B144" i="34"/>
  <c r="O144" i="34"/>
  <c r="C145" i="34"/>
  <c r="B145" i="34"/>
  <c r="O145" i="34"/>
  <c r="C146" i="34"/>
  <c r="B146" i="34"/>
  <c r="O146" i="34"/>
  <c r="C147" i="34"/>
  <c r="B147" i="34"/>
  <c r="O147" i="34"/>
  <c r="C148" i="34"/>
  <c r="B148" i="34"/>
  <c r="O148" i="34"/>
  <c r="C149" i="34"/>
  <c r="B149" i="34"/>
  <c r="O149" i="34"/>
  <c r="C150" i="34"/>
  <c r="B150" i="34"/>
  <c r="O150" i="34"/>
  <c r="C151" i="34"/>
  <c r="B151" i="34"/>
  <c r="O151" i="34"/>
  <c r="C152" i="34"/>
  <c r="B152" i="34"/>
  <c r="O152" i="34"/>
  <c r="C153" i="34"/>
  <c r="B153" i="34"/>
  <c r="O153" i="34"/>
  <c r="C154" i="34"/>
  <c r="B154" i="34"/>
  <c r="O154" i="34"/>
  <c r="C155" i="34"/>
  <c r="B155" i="34"/>
  <c r="O155" i="34"/>
  <c r="C156" i="34"/>
  <c r="B156" i="34"/>
  <c r="O156" i="34"/>
  <c r="C157" i="34"/>
  <c r="B157" i="34"/>
  <c r="O157" i="34"/>
  <c r="C158" i="34"/>
  <c r="B158" i="34"/>
  <c r="O158" i="34"/>
  <c r="C159" i="34"/>
  <c r="B159" i="34"/>
  <c r="O159" i="34"/>
  <c r="C160" i="34"/>
  <c r="B160" i="34"/>
  <c r="O160" i="34"/>
  <c r="C161" i="34"/>
  <c r="B161" i="34"/>
  <c r="O161" i="34"/>
  <c r="C162" i="34"/>
  <c r="B162" i="34"/>
  <c r="O162" i="34"/>
  <c r="C163" i="34"/>
  <c r="B163" i="34"/>
  <c r="O163" i="34"/>
  <c r="C164" i="34"/>
  <c r="B164" i="34"/>
  <c r="O164" i="34"/>
  <c r="C165" i="34"/>
  <c r="B165" i="34"/>
  <c r="O165" i="34"/>
  <c r="C166" i="34"/>
  <c r="B166" i="34"/>
  <c r="O166" i="34"/>
  <c r="C167" i="34"/>
  <c r="B167" i="34"/>
  <c r="O167" i="34"/>
  <c r="C168" i="34"/>
  <c r="B168" i="34"/>
  <c r="O168" i="34"/>
  <c r="C169" i="34"/>
  <c r="B169" i="34"/>
  <c r="O169" i="34"/>
  <c r="C170" i="34"/>
  <c r="B170" i="34"/>
  <c r="O170" i="34"/>
  <c r="C171" i="34"/>
  <c r="B171" i="34"/>
  <c r="O171" i="34"/>
  <c r="C172" i="34"/>
  <c r="B172" i="34"/>
  <c r="O172" i="34"/>
  <c r="C173" i="34"/>
  <c r="B173" i="34"/>
  <c r="O173" i="34"/>
  <c r="C174" i="34"/>
  <c r="B174" i="34"/>
  <c r="O174" i="34"/>
  <c r="C175" i="34"/>
  <c r="B175" i="34"/>
  <c r="O175" i="34"/>
  <c r="C176" i="34"/>
  <c r="B176" i="34"/>
  <c r="O176" i="34"/>
  <c r="C177" i="34"/>
  <c r="B177" i="34"/>
  <c r="O177" i="34"/>
  <c r="C178" i="34"/>
  <c r="B178" i="34"/>
  <c r="O178" i="34"/>
  <c r="C179" i="34"/>
  <c r="B179" i="34"/>
  <c r="O179" i="34"/>
  <c r="C180" i="34"/>
  <c r="B180" i="34"/>
  <c r="O180" i="34"/>
  <c r="C181" i="34"/>
  <c r="B181" i="34"/>
  <c r="O181" i="34"/>
  <c r="O182" i="34"/>
  <c r="O183" i="34"/>
  <c r="O184" i="34"/>
  <c r="C185" i="34"/>
  <c r="B185" i="34"/>
  <c r="O185" i="34"/>
  <c r="C186" i="34"/>
  <c r="B186" i="34"/>
  <c r="O186" i="34"/>
  <c r="C187" i="34"/>
  <c r="B187" i="34"/>
  <c r="O187" i="34"/>
  <c r="C188" i="34"/>
  <c r="B188" i="34"/>
  <c r="O188" i="34"/>
  <c r="C189" i="34"/>
  <c r="B189" i="34"/>
  <c r="O189" i="34"/>
  <c r="C190" i="34"/>
  <c r="B190" i="34"/>
  <c r="O190" i="34"/>
  <c r="C191" i="34"/>
  <c r="B191" i="34"/>
  <c r="O191" i="34"/>
  <c r="C192" i="34"/>
  <c r="B192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C205" i="34"/>
  <c r="B205" i="34"/>
  <c r="O205" i="34"/>
  <c r="C206" i="34"/>
  <c r="B206" i="34"/>
  <c r="O206" i="34"/>
  <c r="C207" i="34"/>
  <c r="B207" i="34"/>
  <c r="O207" i="34"/>
  <c r="C208" i="34"/>
  <c r="B208" i="34"/>
  <c r="O208" i="34"/>
  <c r="C209" i="34"/>
  <c r="B209" i="34"/>
  <c r="O209" i="34"/>
  <c r="C210" i="34"/>
  <c r="B210" i="34"/>
  <c r="O210" i="34"/>
  <c r="C211" i="34"/>
  <c r="B211" i="34"/>
  <c r="O211" i="34"/>
  <c r="C212" i="34"/>
  <c r="B212" i="34"/>
  <c r="O212" i="34"/>
  <c r="C213" i="34"/>
  <c r="B213" i="34"/>
  <c r="O213" i="34"/>
  <c r="C214" i="34"/>
  <c r="B214" i="34"/>
  <c r="O214" i="34"/>
  <c r="C215" i="34"/>
  <c r="B215" i="34"/>
  <c r="O215" i="34"/>
  <c r="C216" i="34"/>
  <c r="B216" i="34"/>
  <c r="O216" i="34"/>
  <c r="O217" i="34"/>
  <c r="O218" i="34"/>
  <c r="O219" i="34"/>
  <c r="O220" i="34"/>
  <c r="O221" i="34"/>
  <c r="O222" i="34"/>
  <c r="O223" i="34"/>
  <c r="O224" i="34"/>
  <c r="C225" i="34"/>
  <c r="B225" i="34"/>
  <c r="O225" i="34"/>
  <c r="C226" i="34"/>
  <c r="B226" i="34"/>
  <c r="O226" i="34"/>
  <c r="C227" i="34"/>
  <c r="B227" i="34"/>
  <c r="O227" i="34"/>
  <c r="C228" i="34"/>
  <c r="B228" i="34"/>
  <c r="O228" i="34"/>
  <c r="O229" i="34"/>
  <c r="C230" i="34"/>
  <c r="B230" i="34"/>
  <c r="O230" i="34"/>
  <c r="C231" i="34"/>
  <c r="B231" i="34"/>
  <c r="O231" i="34"/>
  <c r="C232" i="34"/>
  <c r="B232" i="34"/>
  <c r="O232" i="34"/>
  <c r="C233" i="34"/>
  <c r="B233" i="34"/>
  <c r="O233" i="34"/>
  <c r="C234" i="34"/>
  <c r="B234" i="34"/>
  <c r="O234" i="34"/>
  <c r="C235" i="34"/>
  <c r="B235" i="34"/>
  <c r="O235" i="34"/>
  <c r="C236" i="34"/>
  <c r="B236" i="34"/>
  <c r="O236" i="34"/>
  <c r="C237" i="34"/>
  <c r="B237" i="34"/>
  <c r="O237" i="34"/>
  <c r="C238" i="34"/>
  <c r="B238" i="34"/>
  <c r="O238" i="34"/>
  <c r="C239" i="34"/>
  <c r="B239" i="34"/>
  <c r="O239" i="34"/>
  <c r="C240" i="34"/>
  <c r="B240" i="34"/>
  <c r="O240" i="34"/>
  <c r="C241" i="34"/>
  <c r="B241" i="34"/>
  <c r="O241" i="34"/>
  <c r="C242" i="34"/>
  <c r="B242" i="34"/>
  <c r="O242" i="34"/>
  <c r="C243" i="34"/>
  <c r="B243" i="34"/>
  <c r="O243" i="34"/>
  <c r="C244" i="34"/>
  <c r="B244" i="34"/>
  <c r="O244" i="34"/>
  <c r="C245" i="34"/>
  <c r="B245" i="34"/>
  <c r="O245" i="34"/>
  <c r="C246" i="34"/>
  <c r="B246" i="34"/>
  <c r="O246" i="34"/>
  <c r="C247" i="34"/>
  <c r="B247" i="34"/>
  <c r="O247" i="34"/>
  <c r="C248" i="34"/>
  <c r="B248" i="34"/>
  <c r="O248" i="34"/>
  <c r="C249" i="34"/>
  <c r="B249" i="34"/>
  <c r="O249" i="34"/>
  <c r="C250" i="34"/>
  <c r="B250" i="34"/>
  <c r="O250" i="34"/>
  <c r="C251" i="34"/>
  <c r="B251" i="34"/>
  <c r="O251" i="34"/>
  <c r="C252" i="34"/>
  <c r="B252" i="34"/>
  <c r="O252" i="34"/>
  <c r="C253" i="34"/>
  <c r="B253" i="34"/>
  <c r="O253" i="34"/>
  <c r="C254" i="34"/>
  <c r="B254" i="34"/>
  <c r="O254" i="34"/>
  <c r="C255" i="34"/>
  <c r="B255" i="34"/>
  <c r="O255" i="34"/>
  <c r="O256" i="34"/>
  <c r="C257" i="34"/>
  <c r="B257" i="34"/>
  <c r="O257" i="34"/>
  <c r="C258" i="34"/>
  <c r="B258" i="34"/>
  <c r="O258" i="34"/>
  <c r="C259" i="34"/>
  <c r="B259" i="34"/>
  <c r="O259" i="34"/>
  <c r="C260" i="34"/>
  <c r="B260" i="34"/>
  <c r="O260" i="34"/>
  <c r="C261" i="34"/>
  <c r="B261" i="34"/>
  <c r="O261" i="34"/>
  <c r="C262" i="34"/>
  <c r="B262" i="34"/>
  <c r="O262" i="34"/>
  <c r="C263" i="34"/>
  <c r="B263" i="34"/>
  <c r="O263" i="34"/>
  <c r="C264" i="34"/>
  <c r="B264" i="34"/>
  <c r="O264" i="34"/>
  <c r="C265" i="34"/>
  <c r="B265" i="34"/>
  <c r="O265" i="34"/>
  <c r="O266" i="34"/>
  <c r="O267" i="34"/>
  <c r="O268" i="34"/>
  <c r="O269" i="34"/>
  <c r="C270" i="34"/>
  <c r="B270" i="34"/>
  <c r="O270" i="34"/>
  <c r="C271" i="34"/>
  <c r="B271" i="34"/>
  <c r="O271" i="34"/>
  <c r="C272" i="34"/>
  <c r="B272" i="34"/>
  <c r="O272" i="34"/>
  <c r="C273" i="34"/>
  <c r="B273" i="34"/>
  <c r="O273" i="34"/>
  <c r="C274" i="34"/>
  <c r="B274" i="34"/>
  <c r="O274" i="34"/>
  <c r="C275" i="34"/>
  <c r="B275" i="34"/>
  <c r="O275" i="34"/>
  <c r="C276" i="34"/>
  <c r="B276" i="34"/>
  <c r="O276" i="34"/>
  <c r="C277" i="34"/>
  <c r="B277" i="34"/>
  <c r="O277" i="34"/>
  <c r="C278" i="34"/>
  <c r="B278" i="34"/>
  <c r="O278" i="34"/>
  <c r="C279" i="34"/>
  <c r="B279" i="34"/>
  <c r="O279" i="34"/>
  <c r="C280" i="34"/>
  <c r="B280" i="34"/>
  <c r="O280" i="34"/>
  <c r="C281" i="34"/>
  <c r="B281" i="34"/>
  <c r="O281" i="34"/>
  <c r="C282" i="34"/>
  <c r="B282" i="34"/>
  <c r="O282" i="34"/>
  <c r="C283" i="34"/>
  <c r="B283" i="34"/>
  <c r="O283" i="34"/>
  <c r="C284" i="34"/>
  <c r="B284" i="34"/>
  <c r="O284" i="34"/>
  <c r="C285" i="34"/>
  <c r="B285" i="34"/>
  <c r="O285" i="34"/>
  <c r="C286" i="34"/>
  <c r="B286" i="34"/>
  <c r="O286" i="34"/>
  <c r="C287" i="34"/>
  <c r="B287" i="34"/>
  <c r="O287" i="34"/>
  <c r="C288" i="34"/>
  <c r="B288" i="34"/>
  <c r="O288" i="34"/>
  <c r="C289" i="34"/>
  <c r="B289" i="34"/>
  <c r="O289" i="34"/>
  <c r="C290" i="34"/>
  <c r="B290" i="34"/>
  <c r="O290" i="34"/>
  <c r="C291" i="34"/>
  <c r="B291" i="34"/>
  <c r="O291" i="34"/>
  <c r="C292" i="34"/>
  <c r="B292" i="34"/>
  <c r="O292" i="34"/>
  <c r="C293" i="34"/>
  <c r="B293" i="34"/>
  <c r="O293" i="34"/>
  <c r="C294" i="34"/>
  <c r="B294" i="34"/>
  <c r="O294" i="34"/>
  <c r="C295" i="34"/>
  <c r="B295" i="34"/>
  <c r="O295" i="34"/>
  <c r="C296" i="34"/>
  <c r="B296" i="34"/>
  <c r="O296" i="34"/>
  <c r="C297" i="34"/>
  <c r="B297" i="34"/>
  <c r="O297" i="34"/>
  <c r="C298" i="34"/>
  <c r="B298" i="34"/>
  <c r="O298" i="34"/>
  <c r="C299" i="34"/>
  <c r="B299" i="34"/>
  <c r="O299" i="34"/>
  <c r="C300" i="34"/>
  <c r="B300" i="34"/>
  <c r="O300" i="34"/>
  <c r="C301" i="34"/>
  <c r="B301" i="34"/>
  <c r="O301" i="34"/>
  <c r="C302" i="34"/>
  <c r="B302" i="34"/>
  <c r="O302" i="34"/>
  <c r="C303" i="34"/>
  <c r="B303" i="34"/>
  <c r="O303" i="34"/>
  <c r="C304" i="34"/>
  <c r="B304" i="34"/>
  <c r="O304" i="34"/>
  <c r="C305" i="34"/>
  <c r="B305" i="34"/>
  <c r="O305" i="34"/>
  <c r="C306" i="34"/>
  <c r="B306" i="34"/>
  <c r="O306" i="34"/>
  <c r="C307" i="34"/>
  <c r="B307" i="34"/>
  <c r="O307" i="34"/>
  <c r="C308" i="34"/>
  <c r="B308" i="34"/>
  <c r="O308" i="34"/>
  <c r="C309" i="34"/>
  <c r="B309" i="34"/>
  <c r="O309" i="34"/>
  <c r="C310" i="34"/>
  <c r="B310" i="34"/>
  <c r="O310" i="34"/>
  <c r="C311" i="34"/>
  <c r="B311" i="34"/>
  <c r="O311" i="34"/>
  <c r="O312" i="34"/>
  <c r="O313" i="34"/>
  <c r="O314" i="34"/>
  <c r="O315" i="34"/>
  <c r="O316" i="34"/>
  <c r="C317" i="34"/>
  <c r="B317" i="34"/>
  <c r="O317" i="34"/>
  <c r="C318" i="34"/>
  <c r="B318" i="34"/>
  <c r="O318" i="34"/>
  <c r="C319" i="34"/>
  <c r="B319" i="34"/>
  <c r="O319" i="34"/>
  <c r="C320" i="34"/>
  <c r="B320" i="34"/>
  <c r="O320" i="34"/>
  <c r="C321" i="34"/>
  <c r="B321" i="34"/>
  <c r="O321" i="34"/>
  <c r="O322" i="34"/>
  <c r="O323" i="34"/>
  <c r="O324" i="34"/>
  <c r="O325" i="34"/>
  <c r="O326" i="34"/>
  <c r="O327" i="34"/>
  <c r="C328" i="34"/>
  <c r="B328" i="34"/>
  <c r="O328" i="34"/>
  <c r="C329" i="34"/>
  <c r="B329" i="34"/>
  <c r="O329" i="34"/>
  <c r="C330" i="34"/>
  <c r="B330" i="34"/>
  <c r="O330" i="34"/>
  <c r="C331" i="34"/>
  <c r="B331" i="34"/>
  <c r="O331" i="34"/>
  <c r="O332" i="34"/>
  <c r="C333" i="34"/>
  <c r="B333" i="34"/>
  <c r="O333" i="34"/>
  <c r="C334" i="34"/>
  <c r="B334" i="34"/>
  <c r="O334" i="34"/>
  <c r="C335" i="34"/>
  <c r="B335" i="34"/>
  <c r="O335" i="34"/>
  <c r="C336" i="34"/>
  <c r="B336" i="34"/>
  <c r="O336" i="34"/>
  <c r="O337" i="34"/>
  <c r="O338" i="34"/>
  <c r="C339" i="34"/>
  <c r="B339" i="34"/>
  <c r="O339" i="34"/>
  <c r="C340" i="34"/>
  <c r="B340" i="34"/>
  <c r="O340" i="34"/>
  <c r="C341" i="34"/>
  <c r="B341" i="34"/>
  <c r="O341" i="34"/>
  <c r="C342" i="34"/>
  <c r="B342" i="34"/>
  <c r="O342" i="34"/>
  <c r="C343" i="34"/>
  <c r="B343" i="34"/>
  <c r="O343" i="34"/>
  <c r="C344" i="34"/>
  <c r="B344" i="34"/>
  <c r="O344" i="34"/>
  <c r="C345" i="34"/>
  <c r="B345" i="34"/>
  <c r="O345" i="34"/>
  <c r="C346" i="34"/>
  <c r="B346" i="34"/>
  <c r="O346" i="34"/>
  <c r="O347" i="34"/>
  <c r="O348" i="34"/>
  <c r="O349" i="34"/>
  <c r="O350" i="34"/>
  <c r="O351" i="34"/>
  <c r="O352" i="34"/>
  <c r="O353" i="34"/>
  <c r="C354" i="34"/>
  <c r="B354" i="34"/>
  <c r="O354" i="34"/>
  <c r="C355" i="34"/>
  <c r="B355" i="34"/>
  <c r="O355" i="34"/>
  <c r="C356" i="34"/>
  <c r="B356" i="34"/>
  <c r="O356" i="34"/>
  <c r="O357" i="34"/>
  <c r="O358" i="34"/>
  <c r="O359" i="34"/>
  <c r="O360" i="34"/>
  <c r="O361" i="34"/>
  <c r="O362" i="34"/>
  <c r="O363" i="34"/>
  <c r="C364" i="34"/>
  <c r="B364" i="34"/>
  <c r="O364" i="34"/>
  <c r="C365" i="34"/>
  <c r="B365" i="34"/>
  <c r="O365" i="34"/>
  <c r="C366" i="34"/>
  <c r="B366" i="34"/>
  <c r="O366" i="34"/>
  <c r="C367" i="34"/>
  <c r="B367" i="34"/>
  <c r="O367" i="34"/>
  <c r="O368" i="34"/>
  <c r="O369" i="34"/>
  <c r="O370" i="34"/>
  <c r="O371" i="34"/>
  <c r="O372" i="34"/>
  <c r="C373" i="34"/>
  <c r="B373" i="34"/>
  <c r="O373" i="34"/>
  <c r="C374" i="34"/>
  <c r="B374" i="34"/>
  <c r="O374" i="34"/>
  <c r="C375" i="34"/>
  <c r="B375" i="34"/>
  <c r="O375" i="34"/>
  <c r="C376" i="34"/>
  <c r="B376" i="34"/>
  <c r="O376" i="34"/>
  <c r="C377" i="34"/>
  <c r="B377" i="34"/>
  <c r="O377" i="34"/>
  <c r="C378" i="34"/>
  <c r="B378" i="34"/>
  <c r="O378" i="34"/>
  <c r="C379" i="34"/>
  <c r="B379" i="34"/>
  <c r="O379" i="34"/>
  <c r="C380" i="34"/>
  <c r="B380" i="34"/>
  <c r="O380" i="34"/>
  <c r="C381" i="34"/>
  <c r="B381" i="34"/>
  <c r="O381" i="34"/>
  <c r="C382" i="34"/>
  <c r="B382" i="34"/>
  <c r="O382" i="34"/>
  <c r="C383" i="34"/>
  <c r="B383" i="34"/>
  <c r="O383" i="34"/>
  <c r="C384" i="34"/>
  <c r="B384" i="34"/>
  <c r="O384" i="34"/>
  <c r="C385" i="34"/>
  <c r="B385" i="34"/>
  <c r="O385" i="34"/>
  <c r="C386" i="34"/>
  <c r="B386" i="34"/>
  <c r="O386" i="34"/>
  <c r="C387" i="34"/>
  <c r="B387" i="34"/>
  <c r="O387" i="34"/>
  <c r="C388" i="34"/>
  <c r="B388" i="34"/>
  <c r="O388" i="34"/>
  <c r="C389" i="34"/>
  <c r="B389" i="34"/>
  <c r="O389" i="34"/>
  <c r="C390" i="34"/>
  <c r="B390" i="34"/>
  <c r="O390" i="34"/>
  <c r="C391" i="34"/>
  <c r="B391" i="34"/>
  <c r="O391" i="34"/>
  <c r="C392" i="34"/>
  <c r="B392" i="34"/>
  <c r="O392" i="34"/>
  <c r="C393" i="34"/>
  <c r="B393" i="34"/>
  <c r="O393" i="34"/>
  <c r="C394" i="34"/>
  <c r="B394" i="34"/>
  <c r="O394" i="34"/>
  <c r="B395" i="34"/>
  <c r="O395" i="34"/>
  <c r="B396" i="34"/>
  <c r="O396" i="34"/>
  <c r="B397" i="34"/>
  <c r="O397" i="34"/>
  <c r="B398" i="34"/>
  <c r="O398" i="34"/>
  <c r="B399" i="34"/>
  <c r="O399" i="34"/>
  <c r="B400" i="34"/>
  <c r="O400" i="34"/>
  <c r="O401" i="34"/>
  <c r="C402" i="34"/>
  <c r="B402" i="34"/>
  <c r="O402" i="34"/>
  <c r="B403" i="34"/>
  <c r="O403" i="34"/>
  <c r="B404" i="34"/>
  <c r="O404" i="34"/>
  <c r="C405" i="34"/>
  <c r="B405" i="34"/>
  <c r="O405" i="34"/>
  <c r="C406" i="34"/>
  <c r="B406" i="34"/>
  <c r="O406" i="34"/>
  <c r="O407" i="34"/>
  <c r="C408" i="34"/>
  <c r="B408" i="34"/>
  <c r="O408" i="34"/>
  <c r="C409" i="34"/>
  <c r="B409" i="34"/>
  <c r="O409" i="34"/>
  <c r="O410" i="34"/>
  <c r="O411" i="34"/>
  <c r="O412" i="34"/>
  <c r="O413" i="34"/>
  <c r="C414" i="34"/>
  <c r="B414" i="34"/>
  <c r="O414" i="34"/>
  <c r="C415" i="34"/>
  <c r="B415" i="34"/>
  <c r="O415" i="34"/>
  <c r="C416" i="34"/>
  <c r="B416" i="34"/>
  <c r="O416" i="34"/>
  <c r="C417" i="34"/>
  <c r="B417" i="34"/>
  <c r="O417" i="34"/>
  <c r="C418" i="34"/>
  <c r="B418" i="34"/>
  <c r="O418" i="34"/>
  <c r="C419" i="34"/>
  <c r="B419" i="34"/>
  <c r="O419" i="34"/>
  <c r="C420" i="34"/>
  <c r="B420" i="34"/>
  <c r="O420" i="34"/>
  <c r="C421" i="34"/>
  <c r="B421" i="34"/>
  <c r="O421" i="34"/>
  <c r="C422" i="34"/>
  <c r="B422" i="34"/>
  <c r="O422" i="34"/>
  <c r="C423" i="34"/>
  <c r="B423" i="34"/>
  <c r="O423" i="34"/>
  <c r="C424" i="34"/>
  <c r="B424" i="34"/>
  <c r="O424" i="34"/>
  <c r="C425" i="34"/>
  <c r="B425" i="34"/>
  <c r="O425" i="34"/>
  <c r="C426" i="34"/>
  <c r="B426" i="34"/>
  <c r="O426" i="34"/>
  <c r="C427" i="34"/>
  <c r="B427" i="34"/>
  <c r="O427" i="34"/>
  <c r="C428" i="34"/>
  <c r="B428" i="34"/>
  <c r="O428" i="34"/>
  <c r="C429" i="34"/>
  <c r="B429" i="34"/>
  <c r="O429" i="34"/>
  <c r="C430" i="34"/>
  <c r="B430" i="34"/>
  <c r="O430" i="34"/>
  <c r="C431" i="34"/>
  <c r="B431" i="34"/>
  <c r="O431" i="34"/>
  <c r="C432" i="34"/>
  <c r="B432" i="34"/>
  <c r="O432" i="34"/>
  <c r="O433" i="34"/>
  <c r="C434" i="34"/>
  <c r="B434" i="34"/>
  <c r="O434" i="34"/>
  <c r="C435" i="34"/>
  <c r="B435" i="34"/>
  <c r="O435" i="34"/>
  <c r="C436" i="34"/>
  <c r="B436" i="34"/>
  <c r="O436" i="34"/>
  <c r="C437" i="34"/>
  <c r="B437" i="34"/>
  <c r="O437" i="34"/>
  <c r="C438" i="34"/>
  <c r="B438" i="34"/>
  <c r="O438" i="34"/>
  <c r="O439" i="34"/>
  <c r="C440" i="34"/>
  <c r="B440" i="34"/>
  <c r="O440" i="34"/>
  <c r="C441" i="34"/>
  <c r="B441" i="34"/>
  <c r="O441" i="34"/>
  <c r="C442" i="34"/>
  <c r="B442" i="34"/>
  <c r="O442" i="34"/>
  <c r="C443" i="34"/>
  <c r="B443" i="34"/>
  <c r="O443" i="34"/>
  <c r="C444" i="34"/>
  <c r="B444" i="34"/>
  <c r="O444" i="34"/>
  <c r="C445" i="34"/>
  <c r="B445" i="34"/>
  <c r="O445" i="34"/>
  <c r="C446" i="34"/>
  <c r="B446" i="34"/>
  <c r="O446" i="34"/>
  <c r="C447" i="34"/>
  <c r="B447" i="34"/>
  <c r="O447" i="34"/>
  <c r="C448" i="34"/>
  <c r="B448" i="34"/>
  <c r="O448" i="34"/>
  <c r="C449" i="34"/>
  <c r="B449" i="34"/>
  <c r="O449" i="34"/>
  <c r="C450" i="34"/>
  <c r="B450" i="34"/>
  <c r="O450" i="34"/>
  <c r="O451" i="34"/>
  <c r="O452" i="34"/>
  <c r="C453" i="34"/>
  <c r="B453" i="34"/>
  <c r="O453" i="34"/>
  <c r="C454" i="34"/>
  <c r="B454" i="34"/>
  <c r="O454" i="34"/>
  <c r="C455" i="34"/>
  <c r="B455" i="34"/>
  <c r="O455" i="34"/>
  <c r="C456" i="34"/>
  <c r="B456" i="34"/>
  <c r="O456" i="34"/>
  <c r="C457" i="34"/>
  <c r="B457" i="34"/>
  <c r="O457" i="34"/>
  <c r="C458" i="34"/>
  <c r="B458" i="34"/>
  <c r="O458" i="34"/>
  <c r="O459" i="34"/>
  <c r="C460" i="34"/>
  <c r="B460" i="34"/>
  <c r="O460" i="34"/>
  <c r="C461" i="34"/>
  <c r="B461" i="34"/>
  <c r="O461" i="34"/>
  <c r="C462" i="34"/>
  <c r="B462" i="34"/>
  <c r="O462" i="34"/>
  <c r="C463" i="34"/>
  <c r="B463" i="34"/>
  <c r="O463" i="34"/>
  <c r="C464" i="34"/>
  <c r="B464" i="34"/>
  <c r="O464" i="34"/>
  <c r="O465" i="34"/>
  <c r="O466" i="34"/>
  <c r="O467" i="34"/>
  <c r="O468" i="34"/>
  <c r="O469" i="34"/>
  <c r="C470" i="34"/>
  <c r="B470" i="34"/>
  <c r="O470" i="34"/>
  <c r="C471" i="34"/>
  <c r="B471" i="34"/>
  <c r="O471" i="34"/>
  <c r="C472" i="34"/>
  <c r="B472" i="34"/>
  <c r="O472" i="34"/>
  <c r="C473" i="34"/>
  <c r="B473" i="34"/>
  <c r="O473" i="34"/>
  <c r="C474" i="34"/>
  <c r="B474" i="34"/>
  <c r="O474" i="34"/>
  <c r="C475" i="34"/>
  <c r="B475" i="34"/>
  <c r="O475" i="34"/>
  <c r="C476" i="34"/>
  <c r="B476" i="34"/>
  <c r="O476" i="34"/>
  <c r="C477" i="34"/>
  <c r="B477" i="34"/>
  <c r="O477" i="34"/>
  <c r="C478" i="34"/>
  <c r="B478" i="34"/>
  <c r="O478" i="34"/>
  <c r="C479" i="34"/>
  <c r="B479" i="34"/>
  <c r="O479" i="34"/>
  <c r="C480" i="34"/>
  <c r="B480" i="34"/>
  <c r="O480" i="34"/>
  <c r="C481" i="34"/>
  <c r="B481" i="34"/>
  <c r="O481" i="34"/>
  <c r="C482" i="34"/>
  <c r="B482" i="34"/>
  <c r="O482" i="34"/>
  <c r="C483" i="34"/>
  <c r="B483" i="34"/>
  <c r="O483" i="34"/>
  <c r="C484" i="34"/>
  <c r="B484" i="34"/>
  <c r="O484" i="34"/>
  <c r="C485" i="34"/>
  <c r="B485" i="34"/>
  <c r="O485" i="34"/>
  <c r="C486" i="34"/>
  <c r="B486" i="34"/>
  <c r="O486" i="34"/>
  <c r="C487" i="34"/>
  <c r="B487" i="34"/>
  <c r="O487" i="34"/>
  <c r="C488" i="34"/>
  <c r="B488" i="34"/>
  <c r="O488" i="34"/>
  <c r="C489" i="34"/>
  <c r="B489" i="34"/>
  <c r="O489" i="34"/>
  <c r="C490" i="34"/>
  <c r="B490" i="34"/>
  <c r="O490" i="34"/>
  <c r="C491" i="34"/>
  <c r="B491" i="34"/>
  <c r="O491" i="34"/>
  <c r="C492" i="34"/>
  <c r="B492" i="34"/>
  <c r="O492" i="34"/>
  <c r="C493" i="34"/>
  <c r="B493" i="34"/>
  <c r="O493" i="34"/>
  <c r="C494" i="34"/>
  <c r="B494" i="34"/>
  <c r="O494" i="34"/>
  <c r="C495" i="34"/>
  <c r="B495" i="34"/>
  <c r="O495" i="34"/>
  <c r="C496" i="34"/>
  <c r="B496" i="34"/>
  <c r="O496" i="34"/>
  <c r="C497" i="34"/>
  <c r="B497" i="34"/>
  <c r="O497" i="34"/>
  <c r="C498" i="34"/>
  <c r="B498" i="34"/>
  <c r="O498" i="34"/>
  <c r="O499" i="34"/>
  <c r="C500" i="34"/>
  <c r="B500" i="34"/>
  <c r="O500" i="34"/>
  <c r="C501" i="34"/>
  <c r="B501" i="34"/>
  <c r="O501" i="34"/>
  <c r="C502" i="34"/>
  <c r="B502" i="34"/>
  <c r="O502" i="34"/>
  <c r="C503" i="34"/>
  <c r="B503" i="34"/>
  <c r="O503" i="34"/>
  <c r="O504" i="34"/>
  <c r="O505" i="34"/>
  <c r="O506" i="34"/>
  <c r="O507" i="34"/>
  <c r="C508" i="34"/>
  <c r="B508" i="34"/>
  <c r="O508" i="34"/>
  <c r="C509" i="34"/>
  <c r="B509" i="34"/>
  <c r="O509" i="34"/>
  <c r="C510" i="34"/>
  <c r="B510" i="34"/>
  <c r="O510" i="34"/>
  <c r="C511" i="34"/>
  <c r="B511" i="34"/>
  <c r="O511" i="34"/>
  <c r="C512" i="34"/>
  <c r="B512" i="34"/>
  <c r="O512" i="34"/>
  <c r="C513" i="34"/>
  <c r="B513" i="34"/>
  <c r="O513" i="34"/>
  <c r="C514" i="34"/>
  <c r="B514" i="34"/>
  <c r="O514" i="34"/>
  <c r="C515" i="34"/>
  <c r="B515" i="34"/>
  <c r="O515" i="34"/>
  <c r="C516" i="34"/>
  <c r="B516" i="34"/>
  <c r="O516" i="34"/>
  <c r="C517" i="34"/>
  <c r="B517" i="34"/>
  <c r="O517" i="34"/>
  <c r="C518" i="34"/>
  <c r="B518" i="34"/>
  <c r="O518" i="34"/>
  <c r="C519" i="34"/>
  <c r="B519" i="34"/>
  <c r="O519" i="34"/>
  <c r="C520" i="34"/>
  <c r="B520" i="34"/>
  <c r="O520" i="34"/>
  <c r="C521" i="34"/>
  <c r="B521" i="34"/>
  <c r="O521" i="34"/>
  <c r="C522" i="34"/>
  <c r="B522" i="34"/>
  <c r="O522" i="34"/>
  <c r="C523" i="34"/>
  <c r="B523" i="34"/>
  <c r="O523" i="34"/>
  <c r="C524" i="34"/>
  <c r="B524" i="34"/>
  <c r="O524" i="34"/>
  <c r="C525" i="34"/>
  <c r="B525" i="34"/>
  <c r="O525" i="34"/>
  <c r="C526" i="34"/>
  <c r="B526" i="34"/>
  <c r="O526" i="34"/>
  <c r="C527" i="34"/>
  <c r="B527" i="34"/>
  <c r="O527" i="34"/>
  <c r="C528" i="34"/>
  <c r="B528" i="34"/>
  <c r="O528" i="34"/>
  <c r="C529" i="34"/>
  <c r="B529" i="34"/>
  <c r="O529" i="34"/>
  <c r="C530" i="34"/>
  <c r="B530" i="34"/>
  <c r="O530" i="34"/>
  <c r="O531" i="34"/>
  <c r="C532" i="34"/>
  <c r="B532" i="34"/>
  <c r="O532" i="34"/>
  <c r="C533" i="34"/>
  <c r="B533" i="34"/>
  <c r="O533" i="34"/>
  <c r="C534" i="34"/>
  <c r="B534" i="34"/>
  <c r="O534" i="34"/>
  <c r="O535" i="34"/>
  <c r="O536" i="34"/>
  <c r="O537" i="34"/>
  <c r="O538" i="34"/>
  <c r="C539" i="34"/>
  <c r="B539" i="34"/>
  <c r="O539" i="34"/>
  <c r="C540" i="34"/>
  <c r="B540" i="34"/>
  <c r="O540" i="34"/>
  <c r="C541" i="34"/>
  <c r="B541" i="34"/>
  <c r="O541" i="34"/>
  <c r="C542" i="34"/>
  <c r="B542" i="34"/>
  <c r="O542" i="34"/>
  <c r="C543" i="34"/>
  <c r="B543" i="34"/>
  <c r="O543" i="34"/>
  <c r="O544" i="34"/>
  <c r="O545" i="34"/>
  <c r="O546" i="34"/>
  <c r="O547" i="34"/>
  <c r="O548" i="34"/>
  <c r="O549" i="34"/>
  <c r="C550" i="34"/>
  <c r="B550" i="34"/>
  <c r="O550" i="34"/>
  <c r="C551" i="34"/>
  <c r="B551" i="34"/>
  <c r="O551" i="34"/>
  <c r="O552" i="34"/>
  <c r="O553" i="34"/>
  <c r="O554" i="34"/>
  <c r="O555" i="34"/>
  <c r="O556" i="34"/>
  <c r="O557" i="34"/>
  <c r="O558" i="34"/>
  <c r="C559" i="34"/>
  <c r="B559" i="34"/>
  <c r="O559" i="34"/>
  <c r="C560" i="34"/>
  <c r="B560" i="34"/>
  <c r="O560" i="34"/>
  <c r="C561" i="34"/>
  <c r="B561" i="34"/>
  <c r="O561" i="34"/>
  <c r="C562" i="34"/>
  <c r="B562" i="34"/>
  <c r="O562" i="34"/>
  <c r="C563" i="34"/>
  <c r="B563" i="34"/>
  <c r="O563" i="34"/>
  <c r="C564" i="34"/>
  <c r="B564" i="34"/>
  <c r="O564" i="34"/>
  <c r="C565" i="34"/>
  <c r="B565" i="34"/>
  <c r="O565" i="34"/>
  <c r="C566" i="34"/>
  <c r="B566" i="34"/>
  <c r="O566" i="34"/>
  <c r="C567" i="34"/>
  <c r="B567" i="34"/>
  <c r="O567" i="34"/>
  <c r="C568" i="34"/>
  <c r="B568" i="34"/>
  <c r="O568" i="34"/>
  <c r="C569" i="34"/>
  <c r="B569" i="34"/>
  <c r="O569" i="34"/>
  <c r="C570" i="34"/>
  <c r="B570" i="34"/>
  <c r="O570" i="34"/>
  <c r="C571" i="34"/>
  <c r="B571" i="34"/>
  <c r="O571" i="34"/>
  <c r="C572" i="34"/>
  <c r="B572" i="34"/>
  <c r="O572" i="34"/>
  <c r="C573" i="34"/>
  <c r="B573" i="34"/>
  <c r="O573" i="34"/>
  <c r="C574" i="34"/>
  <c r="B574" i="34"/>
  <c r="O574" i="34"/>
  <c r="C575" i="34"/>
  <c r="B575" i="34"/>
  <c r="O575" i="34"/>
  <c r="C576" i="34"/>
  <c r="B576" i="34"/>
  <c r="O576" i="34"/>
  <c r="O577" i="34"/>
  <c r="C578" i="34"/>
  <c r="B578" i="34"/>
  <c r="O578" i="34"/>
  <c r="C579" i="34"/>
  <c r="B579" i="34"/>
  <c r="O579" i="34"/>
  <c r="C580" i="34"/>
  <c r="B580" i="34"/>
  <c r="O580" i="34"/>
  <c r="C581" i="34"/>
  <c r="B581" i="34"/>
  <c r="O581" i="34"/>
  <c r="C582" i="34"/>
  <c r="B582" i="34"/>
  <c r="O582" i="34"/>
  <c r="C583" i="34"/>
  <c r="B583" i="34"/>
  <c r="O583" i="34"/>
  <c r="C584" i="34"/>
  <c r="B584" i="34"/>
  <c r="O584" i="34"/>
  <c r="C585" i="34"/>
  <c r="B585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C598" i="34"/>
  <c r="B598" i="34"/>
  <c r="O598" i="34"/>
  <c r="C599" i="34"/>
  <c r="B599" i="34"/>
  <c r="O599" i="34"/>
  <c r="C600" i="34"/>
  <c r="B600" i="34"/>
  <c r="O600" i="34"/>
  <c r="C601" i="34"/>
  <c r="B601" i="34"/>
  <c r="O601" i="34"/>
  <c r="C602" i="34"/>
  <c r="B602" i="34"/>
  <c r="O602" i="34"/>
  <c r="C603" i="34"/>
  <c r="B603" i="34"/>
  <c r="O603" i="34"/>
  <c r="C604" i="34"/>
  <c r="B604" i="34"/>
  <c r="O604" i="34"/>
  <c r="C605" i="34"/>
  <c r="B605" i="34"/>
  <c r="O605" i="34"/>
  <c r="C606" i="34"/>
  <c r="B606" i="34"/>
  <c r="O606" i="34"/>
  <c r="C607" i="34"/>
  <c r="B607" i="34"/>
  <c r="O607" i="34"/>
  <c r="C608" i="34"/>
  <c r="B608" i="34"/>
  <c r="O608" i="34"/>
  <c r="C609" i="34"/>
  <c r="B609" i="34"/>
  <c r="O609" i="34"/>
  <c r="C610" i="34"/>
  <c r="B610" i="34"/>
  <c r="O610" i="34"/>
  <c r="C611" i="34"/>
  <c r="B611" i="34"/>
  <c r="O611" i="34"/>
  <c r="C612" i="34"/>
  <c r="B612" i="34"/>
  <c r="O612" i="34"/>
  <c r="C613" i="34"/>
  <c r="B613" i="34"/>
  <c r="O613" i="34"/>
  <c r="C614" i="34"/>
  <c r="B614" i="34"/>
  <c r="O614" i="34"/>
  <c r="C615" i="34"/>
  <c r="B615" i="34"/>
  <c r="O615" i="34"/>
  <c r="C616" i="34"/>
  <c r="B616" i="34"/>
  <c r="O616" i="34"/>
  <c r="C617" i="34"/>
  <c r="B617" i="34"/>
  <c r="O617" i="34"/>
  <c r="C618" i="34"/>
  <c r="B618" i="34"/>
  <c r="O618" i="34"/>
  <c r="C619" i="34"/>
  <c r="B619" i="34"/>
  <c r="O619" i="34"/>
  <c r="C620" i="34"/>
  <c r="B620" i="34"/>
  <c r="O620" i="34"/>
  <c r="C621" i="34"/>
  <c r="B621" i="34"/>
  <c r="O621" i="34"/>
  <c r="C622" i="34"/>
  <c r="B622" i="34"/>
  <c r="O622" i="34"/>
  <c r="C623" i="34"/>
  <c r="B623" i="34"/>
  <c r="O623" i="34"/>
  <c r="C624" i="34"/>
  <c r="B624" i="34"/>
  <c r="O624" i="34"/>
  <c r="C625" i="34"/>
  <c r="B625" i="34"/>
  <c r="O625" i="34"/>
  <c r="C626" i="34"/>
  <c r="B626" i="34"/>
  <c r="O626" i="34"/>
  <c r="C627" i="34"/>
  <c r="B627" i="34"/>
  <c r="O627" i="34"/>
  <c r="C628" i="34"/>
  <c r="B628" i="34"/>
  <c r="O628" i="34"/>
  <c r="C629" i="34"/>
  <c r="B629" i="34"/>
  <c r="O629" i="34"/>
  <c r="C630" i="34"/>
  <c r="B630" i="34"/>
  <c r="O630" i="34"/>
  <c r="C631" i="34"/>
  <c r="B631" i="34"/>
  <c r="O631" i="34"/>
  <c r="C632" i="34"/>
  <c r="B632" i="34"/>
  <c r="O632" i="34"/>
  <c r="C633" i="34"/>
  <c r="B633" i="34"/>
  <c r="O633" i="34"/>
  <c r="C634" i="34"/>
  <c r="B634" i="34"/>
  <c r="O634" i="34"/>
  <c r="C635" i="34"/>
  <c r="B635" i="34"/>
  <c r="O635" i="34"/>
  <c r="O636" i="34"/>
  <c r="C637" i="34"/>
  <c r="B637" i="34"/>
  <c r="O637" i="34"/>
  <c r="C638" i="34"/>
  <c r="B638" i="34"/>
  <c r="O638" i="34"/>
  <c r="C639" i="34"/>
  <c r="B639" i="34"/>
  <c r="O639" i="34"/>
  <c r="C640" i="34"/>
  <c r="B640" i="34"/>
  <c r="O640" i="34"/>
  <c r="C641" i="34"/>
  <c r="B641" i="34"/>
  <c r="O641" i="34"/>
  <c r="C642" i="34"/>
  <c r="B642" i="34"/>
  <c r="O642" i="34"/>
  <c r="C643" i="34"/>
  <c r="B643" i="34"/>
  <c r="O643" i="34"/>
  <c r="C644" i="34"/>
  <c r="B644" i="34"/>
  <c r="O644" i="34"/>
  <c r="C645" i="34"/>
  <c r="B645" i="34"/>
  <c r="O645" i="34"/>
  <c r="C646" i="34"/>
  <c r="B646" i="34"/>
  <c r="O646" i="34"/>
  <c r="C647" i="34"/>
  <c r="B647" i="34"/>
  <c r="O647" i="34"/>
  <c r="C648" i="34"/>
  <c r="B648" i="34"/>
  <c r="O648" i="34"/>
  <c r="C649" i="34"/>
  <c r="B649" i="34"/>
  <c r="O649" i="34"/>
  <c r="C650" i="34"/>
  <c r="B650" i="34"/>
  <c r="O650" i="34"/>
  <c r="C651" i="34"/>
  <c r="B651" i="34"/>
  <c r="O651" i="34"/>
  <c r="C652" i="34"/>
  <c r="B652" i="34"/>
  <c r="O652" i="34"/>
  <c r="C653" i="34"/>
  <c r="B653" i="34"/>
  <c r="O653" i="34"/>
  <c r="O654" i="34"/>
  <c r="O655" i="34"/>
  <c r="O656" i="34"/>
  <c r="O657" i="34"/>
  <c r="C658" i="34"/>
  <c r="B658" i="34"/>
  <c r="O658" i="34"/>
  <c r="C659" i="34"/>
  <c r="B659" i="34"/>
  <c r="O659" i="34"/>
  <c r="C660" i="34"/>
  <c r="B660" i="34"/>
  <c r="O660" i="34"/>
  <c r="C661" i="34"/>
  <c r="B661" i="34"/>
  <c r="O661" i="34"/>
  <c r="C662" i="34"/>
  <c r="B662" i="34"/>
  <c r="O662" i="34"/>
  <c r="C663" i="34"/>
  <c r="B663" i="34"/>
  <c r="O663" i="34"/>
  <c r="O664" i="34"/>
  <c r="O665" i="34"/>
  <c r="C666" i="34"/>
  <c r="B666" i="34"/>
  <c r="O666" i="34"/>
  <c r="C667" i="34"/>
  <c r="B667" i="34"/>
  <c r="O667" i="34"/>
  <c r="C668" i="34"/>
  <c r="B668" i="34"/>
  <c r="O668" i="34"/>
  <c r="C669" i="34"/>
  <c r="B669" i="34"/>
  <c r="O669" i="34"/>
  <c r="O670" i="34"/>
  <c r="O671" i="34"/>
  <c r="O672" i="34"/>
  <c r="O673" i="34"/>
  <c r="O674" i="34"/>
  <c r="C675" i="34"/>
  <c r="B675" i="34"/>
  <c r="O675" i="34"/>
  <c r="C676" i="34"/>
  <c r="B676" i="34"/>
  <c r="O676" i="34"/>
  <c r="C677" i="34"/>
  <c r="B677" i="34"/>
  <c r="O677" i="34"/>
  <c r="C678" i="34"/>
  <c r="B678" i="34"/>
  <c r="O678" i="34"/>
  <c r="C679" i="34"/>
  <c r="B679" i="34"/>
  <c r="O679" i="34"/>
  <c r="C680" i="34"/>
  <c r="B680" i="34"/>
  <c r="O680" i="34"/>
  <c r="C681" i="34"/>
  <c r="B681" i="34"/>
  <c r="O681" i="34"/>
  <c r="C682" i="34"/>
  <c r="B682" i="34"/>
  <c r="O682" i="34"/>
  <c r="C683" i="34"/>
  <c r="B683" i="34"/>
  <c r="O683" i="34"/>
  <c r="C684" i="34"/>
  <c r="B684" i="34"/>
  <c r="O684" i="34"/>
  <c r="C685" i="34"/>
  <c r="B685" i="34"/>
  <c r="O685" i="34"/>
  <c r="C686" i="34"/>
  <c r="B686" i="34"/>
  <c r="O686" i="34"/>
  <c r="C687" i="34"/>
  <c r="B687" i="34"/>
  <c r="O687" i="34"/>
  <c r="C688" i="34"/>
  <c r="B688" i="34"/>
  <c r="O688" i="34"/>
  <c r="C689" i="34"/>
  <c r="B689" i="34"/>
  <c r="O689" i="34"/>
  <c r="C690" i="34"/>
  <c r="B690" i="34"/>
  <c r="O690" i="34"/>
  <c r="C691" i="34"/>
  <c r="B691" i="34"/>
  <c r="O691" i="34"/>
  <c r="C692" i="34"/>
  <c r="B692" i="34"/>
  <c r="O692" i="34"/>
  <c r="C693" i="34"/>
  <c r="B693" i="34"/>
  <c r="O693" i="34"/>
  <c r="C694" i="34"/>
  <c r="B694" i="34"/>
  <c r="O694" i="34"/>
  <c r="C695" i="34"/>
  <c r="B695" i="34"/>
  <c r="O695" i="34"/>
  <c r="C696" i="34"/>
  <c r="B696" i="34"/>
  <c r="O696" i="34"/>
  <c r="C697" i="34"/>
  <c r="B697" i="34"/>
  <c r="O697" i="34"/>
  <c r="C698" i="34"/>
  <c r="B698" i="34"/>
  <c r="O698" i="34"/>
  <c r="C699" i="34"/>
  <c r="B699" i="34"/>
  <c r="O699" i="34"/>
  <c r="C700" i="34"/>
  <c r="B700" i="34"/>
  <c r="O700" i="34"/>
  <c r="C701" i="34"/>
  <c r="B701" i="34"/>
  <c r="O701" i="34"/>
  <c r="C702" i="34"/>
  <c r="B702" i="34"/>
  <c r="O702" i="34"/>
  <c r="C703" i="34"/>
  <c r="B703" i="34"/>
  <c r="O703" i="34"/>
  <c r="C704" i="34"/>
  <c r="B704" i="34"/>
  <c r="O704" i="34"/>
  <c r="C705" i="34"/>
  <c r="B705" i="34"/>
  <c r="O705" i="34"/>
  <c r="O706" i="34"/>
  <c r="O707" i="34"/>
  <c r="O708" i="34"/>
  <c r="O709" i="34"/>
  <c r="C710" i="34"/>
  <c r="B710" i="34"/>
  <c r="O710" i="34"/>
  <c r="C711" i="34"/>
  <c r="B711" i="34"/>
  <c r="O711" i="34"/>
  <c r="C712" i="34"/>
  <c r="B712" i="34"/>
  <c r="O712" i="34"/>
  <c r="O713" i="34"/>
  <c r="O714" i="34"/>
  <c r="O715" i="34"/>
  <c r="O716" i="34"/>
  <c r="O717" i="34"/>
  <c r="O718" i="34"/>
  <c r="C719" i="34"/>
  <c r="B719" i="34"/>
  <c r="O719" i="34"/>
  <c r="C720" i="34"/>
  <c r="B720" i="34"/>
  <c r="O720" i="34"/>
  <c r="C721" i="34"/>
  <c r="B721" i="34"/>
  <c r="O721" i="34"/>
  <c r="C722" i="34"/>
  <c r="B722" i="34"/>
  <c r="O722" i="34"/>
  <c r="C723" i="34"/>
  <c r="B723" i="34"/>
  <c r="O723" i="34"/>
  <c r="C724" i="34"/>
  <c r="B724" i="34"/>
  <c r="O724" i="34"/>
  <c r="C725" i="34"/>
  <c r="B725" i="34"/>
  <c r="O725" i="34"/>
  <c r="C726" i="34"/>
  <c r="B726" i="34"/>
  <c r="O726" i="34"/>
  <c r="C727" i="34"/>
  <c r="B727" i="34"/>
  <c r="O727" i="34"/>
  <c r="C728" i="34"/>
  <c r="B728" i="34"/>
  <c r="O728" i="34"/>
  <c r="C729" i="34"/>
  <c r="B729" i="34"/>
  <c r="O729" i="34"/>
  <c r="C730" i="34"/>
  <c r="B730" i="34"/>
  <c r="O730" i="34"/>
  <c r="C731" i="34"/>
  <c r="B731" i="34"/>
  <c r="O731" i="34"/>
  <c r="C732" i="34"/>
  <c r="B732" i="34"/>
  <c r="O732" i="34"/>
  <c r="C733" i="34"/>
  <c r="B733" i="34"/>
  <c r="O733" i="34"/>
  <c r="O734" i="34"/>
  <c r="O735" i="34"/>
  <c r="C736" i="34"/>
  <c r="B736" i="34"/>
  <c r="O736" i="34"/>
  <c r="C737" i="34"/>
  <c r="B737" i="34"/>
  <c r="O737" i="34"/>
  <c r="C738" i="34"/>
  <c r="B738" i="34"/>
  <c r="O738" i="34"/>
  <c r="C739" i="34"/>
  <c r="B739" i="34"/>
  <c r="O739" i="34"/>
  <c r="C740" i="34"/>
  <c r="B740" i="34"/>
  <c r="O740" i="34"/>
  <c r="C741" i="34"/>
  <c r="B741" i="34"/>
  <c r="O741" i="34"/>
  <c r="C742" i="34"/>
  <c r="B742" i="34"/>
  <c r="O742" i="34"/>
  <c r="C743" i="34"/>
  <c r="B743" i="34"/>
  <c r="O743" i="34"/>
  <c r="C744" i="34"/>
  <c r="B744" i="34"/>
  <c r="O744" i="34"/>
  <c r="C745" i="34"/>
  <c r="B745" i="34"/>
  <c r="O745" i="34"/>
  <c r="C746" i="34"/>
  <c r="B746" i="34"/>
  <c r="O746" i="34"/>
  <c r="C747" i="34"/>
  <c r="B747" i="34"/>
  <c r="O747" i="34"/>
  <c r="C748" i="34"/>
  <c r="B748" i="34"/>
  <c r="O748" i="34"/>
  <c r="C749" i="34"/>
  <c r="B749" i="34"/>
  <c r="O749" i="34"/>
  <c r="C750" i="34"/>
  <c r="B750" i="34"/>
  <c r="O750" i="34"/>
  <c r="C751" i="34"/>
  <c r="B751" i="34"/>
  <c r="O751" i="34"/>
  <c r="C752" i="34"/>
  <c r="B752" i="34"/>
  <c r="O752" i="34"/>
  <c r="C753" i="34"/>
  <c r="B753" i="34"/>
  <c r="O753" i="34"/>
  <c r="C754" i="34"/>
  <c r="B754" i="34"/>
  <c r="O754" i="34"/>
  <c r="C755" i="34"/>
  <c r="B755" i="34"/>
  <c r="O755" i="34"/>
  <c r="C756" i="34"/>
  <c r="B756" i="34"/>
  <c r="O756" i="34"/>
  <c r="C757" i="34"/>
  <c r="B757" i="34"/>
  <c r="O757" i="34"/>
  <c r="C758" i="34"/>
  <c r="B758" i="34"/>
  <c r="O758" i="34"/>
  <c r="C759" i="34"/>
  <c r="B759" i="34"/>
  <c r="O759" i="34"/>
  <c r="C760" i="34"/>
  <c r="B760" i="34"/>
  <c r="O760" i="34"/>
  <c r="C761" i="34"/>
  <c r="B761" i="34"/>
  <c r="O761" i="34"/>
  <c r="C762" i="34"/>
  <c r="B762" i="34"/>
  <c r="O762" i="34"/>
  <c r="C763" i="34"/>
  <c r="B763" i="34"/>
  <c r="O763" i="34"/>
  <c r="C764" i="34"/>
  <c r="B764" i="34"/>
  <c r="O764" i="34"/>
  <c r="C765" i="34"/>
  <c r="B765" i="34"/>
  <c r="O765" i="34"/>
  <c r="C766" i="34"/>
  <c r="B766" i="34"/>
  <c r="O766" i="34"/>
  <c r="C767" i="34"/>
  <c r="B767" i="34"/>
  <c r="O767" i="34"/>
  <c r="C768" i="34"/>
  <c r="B768" i="34"/>
  <c r="O768" i="34"/>
  <c r="C769" i="34"/>
  <c r="B769" i="34"/>
  <c r="O769" i="34"/>
  <c r="C770" i="34"/>
  <c r="B770" i="34"/>
  <c r="O770" i="34"/>
  <c r="C771" i="34"/>
  <c r="B771" i="34"/>
  <c r="O771" i="34"/>
  <c r="C772" i="34"/>
  <c r="B772" i="34"/>
  <c r="O772" i="34"/>
  <c r="C773" i="34"/>
  <c r="B773" i="34"/>
  <c r="O773" i="34"/>
  <c r="C774" i="34"/>
  <c r="B774" i="34"/>
  <c r="O774" i="34"/>
  <c r="C775" i="34"/>
  <c r="B775" i="34"/>
  <c r="O775" i="34"/>
  <c r="C776" i="34"/>
  <c r="B776" i="34"/>
  <c r="O776" i="34"/>
  <c r="C777" i="34"/>
  <c r="B777" i="34"/>
  <c r="O777" i="34"/>
  <c r="C778" i="34"/>
  <c r="B778" i="34"/>
  <c r="O778" i="34"/>
  <c r="C779" i="34"/>
  <c r="B779" i="34"/>
  <c r="O779" i="34"/>
  <c r="C780" i="34"/>
  <c r="B780" i="34"/>
  <c r="O780" i="34"/>
  <c r="C781" i="34"/>
  <c r="B781" i="34"/>
  <c r="O781" i="34"/>
  <c r="O782" i="34"/>
  <c r="C783" i="34"/>
  <c r="B783" i="34"/>
  <c r="O783" i="34"/>
  <c r="C784" i="34"/>
  <c r="B784" i="34"/>
  <c r="O784" i="34"/>
  <c r="C785" i="34"/>
  <c r="B785" i="34"/>
  <c r="O785" i="34"/>
  <c r="C786" i="34"/>
  <c r="B786" i="34"/>
  <c r="O786" i="34"/>
  <c r="C787" i="34"/>
  <c r="B787" i="34"/>
  <c r="O787" i="34"/>
  <c r="C788" i="34"/>
  <c r="B788" i="34"/>
  <c r="O788" i="34"/>
  <c r="O789" i="34"/>
  <c r="C790" i="34"/>
  <c r="B790" i="34"/>
  <c r="O790" i="34"/>
  <c r="C791" i="34"/>
  <c r="B791" i="34"/>
  <c r="O791" i="34"/>
  <c r="C792" i="34"/>
  <c r="B792" i="34"/>
  <c r="O792" i="34"/>
  <c r="C793" i="34"/>
  <c r="B793" i="34"/>
  <c r="O793" i="34"/>
  <c r="C794" i="34"/>
  <c r="B794" i="34"/>
  <c r="O794" i="34"/>
  <c r="C795" i="34"/>
  <c r="B795" i="34"/>
  <c r="O795" i="34"/>
  <c r="C796" i="34"/>
  <c r="B796" i="34"/>
  <c r="O796" i="34"/>
  <c r="C797" i="34"/>
  <c r="B797" i="34"/>
  <c r="O797" i="34"/>
  <c r="C798" i="34"/>
  <c r="B798" i="34"/>
  <c r="O798" i="34"/>
  <c r="C799" i="34"/>
  <c r="B799" i="34"/>
  <c r="O799" i="34"/>
  <c r="C800" i="34"/>
  <c r="B800" i="34"/>
  <c r="O800" i="34"/>
  <c r="C801" i="34"/>
  <c r="B801" i="34"/>
  <c r="O801" i="34"/>
  <c r="C802" i="34"/>
  <c r="B802" i="34"/>
  <c r="O802" i="34"/>
  <c r="C803" i="34"/>
  <c r="B803" i="34"/>
  <c r="O803" i="34"/>
  <c r="O804" i="34"/>
  <c r="O805" i="34"/>
  <c r="C806" i="34"/>
  <c r="B806" i="34"/>
  <c r="O806" i="34"/>
  <c r="C807" i="34"/>
  <c r="B807" i="34"/>
  <c r="O807" i="34"/>
  <c r="C808" i="34"/>
  <c r="B808" i="34"/>
  <c r="O808" i="34"/>
  <c r="C809" i="34"/>
  <c r="B809" i="34"/>
  <c r="O809" i="34"/>
  <c r="C810" i="34"/>
  <c r="B810" i="34"/>
  <c r="O810" i="34"/>
  <c r="O811" i="34"/>
  <c r="O812" i="34"/>
  <c r="C813" i="34"/>
  <c r="B813" i="34"/>
  <c r="O813" i="34"/>
  <c r="C814" i="34"/>
  <c r="B814" i="34"/>
  <c r="O814" i="34"/>
  <c r="C815" i="34"/>
  <c r="B815" i="34"/>
  <c r="O815" i="34"/>
  <c r="C816" i="34"/>
  <c r="B816" i="34"/>
  <c r="O816" i="34"/>
  <c r="C817" i="34"/>
  <c r="B817" i="34"/>
  <c r="O817" i="34"/>
  <c r="C818" i="34"/>
  <c r="B818" i="34"/>
  <c r="O818" i="34"/>
  <c r="C819" i="34"/>
  <c r="B819" i="34"/>
  <c r="O819" i="34"/>
  <c r="C820" i="34"/>
  <c r="B820" i="34"/>
  <c r="O820" i="34"/>
  <c r="C821" i="34"/>
  <c r="B821" i="34"/>
  <c r="O821" i="34"/>
  <c r="C822" i="34"/>
  <c r="B822" i="34"/>
  <c r="O822" i="34"/>
  <c r="C823" i="34"/>
  <c r="B823" i="34"/>
  <c r="O823" i="34"/>
  <c r="C824" i="34"/>
  <c r="B824" i="34"/>
  <c r="O824" i="34"/>
  <c r="C825" i="34"/>
  <c r="B825" i="34"/>
  <c r="O825" i="34"/>
  <c r="C826" i="34"/>
  <c r="B826" i="34"/>
  <c r="O826" i="34"/>
  <c r="C827" i="34"/>
  <c r="B827" i="34"/>
  <c r="O827" i="34"/>
  <c r="O828" i="34"/>
  <c r="O829" i="34"/>
  <c r="O830" i="34"/>
  <c r="C831" i="34"/>
  <c r="B831" i="34"/>
  <c r="O831" i="34"/>
  <c r="C832" i="34"/>
  <c r="B832" i="34"/>
  <c r="O832" i="34"/>
  <c r="C833" i="34"/>
  <c r="B833" i="34"/>
  <c r="O833" i="34"/>
  <c r="C834" i="34"/>
  <c r="B834" i="34"/>
  <c r="O834" i="34"/>
  <c r="C835" i="34"/>
  <c r="B835" i="34"/>
  <c r="O835" i="34"/>
  <c r="C836" i="34"/>
  <c r="B836" i="34"/>
  <c r="O836" i="34"/>
  <c r="C837" i="34"/>
  <c r="B837" i="34"/>
  <c r="O837" i="34"/>
  <c r="C838" i="34"/>
  <c r="B838" i="34"/>
  <c r="O838" i="34"/>
  <c r="C839" i="34"/>
  <c r="B839" i="34"/>
  <c r="O839" i="34"/>
  <c r="C840" i="34"/>
  <c r="B840" i="34"/>
  <c r="O840" i="34"/>
  <c r="C841" i="34"/>
  <c r="B841" i="34"/>
  <c r="O841" i="34"/>
  <c r="C842" i="34"/>
  <c r="B842" i="34"/>
  <c r="O842" i="34"/>
  <c r="C843" i="34"/>
  <c r="B843" i="34"/>
  <c r="O843" i="34"/>
  <c r="B10" i="34"/>
  <c r="O10" i="34"/>
  <c r="C11" i="34"/>
  <c r="B11" i="34"/>
  <c r="O11" i="34"/>
  <c r="C12" i="34"/>
  <c r="B12" i="34"/>
  <c r="O12" i="34"/>
  <c r="C13" i="34"/>
  <c r="B13" i="34"/>
  <c r="O13" i="34"/>
  <c r="C14" i="34"/>
  <c r="B14" i="34"/>
  <c r="O14" i="34"/>
  <c r="C15" i="34"/>
  <c r="B15" i="34"/>
  <c r="O15" i="34"/>
  <c r="C16" i="34"/>
  <c r="B16" i="34"/>
  <c r="O16" i="34"/>
  <c r="C844" i="34"/>
  <c r="B844" i="34"/>
  <c r="O844" i="34"/>
  <c r="C845" i="34"/>
  <c r="B845" i="34"/>
  <c r="O845" i="34"/>
  <c r="C846" i="34"/>
  <c r="B846" i="34"/>
  <c r="O846" i="34"/>
  <c r="C847" i="34"/>
  <c r="B847" i="34"/>
  <c r="O847" i="34"/>
  <c r="C848" i="34"/>
  <c r="B848" i="34"/>
  <c r="O848" i="34"/>
  <c r="C849" i="34"/>
  <c r="B849" i="34"/>
  <c r="O849" i="34"/>
  <c r="C850" i="34"/>
  <c r="B850" i="34"/>
  <c r="O850" i="34"/>
  <c r="C851" i="34"/>
  <c r="B851" i="34"/>
  <c r="O851" i="34"/>
  <c r="C852" i="34"/>
  <c r="B852" i="34"/>
  <c r="O852" i="34"/>
  <c r="C853" i="34"/>
  <c r="B853" i="34"/>
  <c r="O853" i="34"/>
  <c r="C854" i="34"/>
  <c r="B854" i="34"/>
  <c r="O854" i="34"/>
  <c r="C855" i="34"/>
  <c r="B855" i="34"/>
  <c r="O855" i="34"/>
  <c r="C856" i="34"/>
  <c r="B856" i="34"/>
  <c r="O856" i="34"/>
  <c r="C857" i="34"/>
  <c r="B857" i="34"/>
  <c r="O857" i="34"/>
  <c r="C858" i="34"/>
  <c r="B858" i="34"/>
  <c r="O858" i="34"/>
  <c r="C859" i="34"/>
  <c r="B859" i="34"/>
  <c r="O859" i="34"/>
  <c r="C860" i="34"/>
  <c r="B860" i="34"/>
  <c r="O860" i="34"/>
  <c r="C861" i="34"/>
  <c r="B861" i="34"/>
  <c r="O861" i="34"/>
  <c r="C862" i="34"/>
  <c r="B862" i="34"/>
  <c r="O862" i="34"/>
  <c r="C863" i="34"/>
  <c r="B863" i="34"/>
  <c r="O863" i="34"/>
  <c r="C864" i="34"/>
  <c r="B864" i="34"/>
  <c r="O864" i="34"/>
  <c r="C865" i="34"/>
  <c r="B865" i="34"/>
  <c r="O865" i="34"/>
  <c r="C866" i="34"/>
  <c r="B866" i="34"/>
  <c r="O866" i="34"/>
  <c r="C867" i="34"/>
  <c r="B867" i="34"/>
  <c r="O867" i="34"/>
  <c r="C868" i="34"/>
  <c r="B868" i="34"/>
  <c r="O868" i="34"/>
  <c r="C869" i="34"/>
  <c r="B869" i="34"/>
  <c r="O869" i="34"/>
  <c r="C870" i="34"/>
  <c r="B870" i="34"/>
  <c r="O870" i="34"/>
  <c r="C871" i="34"/>
  <c r="B871" i="34"/>
  <c r="O871" i="34"/>
  <c r="C872" i="34"/>
  <c r="B872" i="34"/>
  <c r="O872" i="34"/>
  <c r="C873" i="34"/>
  <c r="B873" i="34"/>
  <c r="O873" i="34"/>
  <c r="C874" i="34"/>
  <c r="B874" i="34"/>
  <c r="O874" i="34"/>
  <c r="C875" i="34"/>
  <c r="B875" i="34"/>
  <c r="O875" i="34"/>
  <c r="C876" i="34"/>
  <c r="B876" i="34"/>
  <c r="O876" i="34"/>
  <c r="C877" i="34"/>
  <c r="B877" i="34"/>
  <c r="O877" i="34"/>
  <c r="C878" i="34"/>
  <c r="B878" i="34"/>
  <c r="O878" i="34"/>
  <c r="C879" i="34"/>
  <c r="B879" i="34"/>
  <c r="O879" i="34"/>
  <c r="C880" i="34"/>
  <c r="B880" i="34"/>
  <c r="O880" i="34"/>
  <c r="C881" i="34"/>
  <c r="B881" i="34"/>
  <c r="O881" i="34"/>
  <c r="C882" i="34"/>
  <c r="B882" i="34"/>
  <c r="O882" i="34"/>
  <c r="C883" i="34"/>
  <c r="B883" i="34"/>
  <c r="O883" i="34"/>
  <c r="C884" i="34"/>
  <c r="B884" i="34"/>
  <c r="O884" i="34"/>
  <c r="C885" i="34"/>
  <c r="B885" i="34"/>
  <c r="O885" i="34"/>
  <c r="C886" i="34"/>
  <c r="B886" i="34"/>
  <c r="O886" i="34"/>
  <c r="C887" i="34"/>
  <c r="B887" i="34"/>
  <c r="O887" i="34"/>
  <c r="C888" i="34"/>
  <c r="B888" i="34"/>
  <c r="O888" i="34"/>
  <c r="C889" i="34"/>
  <c r="B889" i="34"/>
  <c r="O889" i="34"/>
  <c r="C890" i="34"/>
  <c r="B890" i="34"/>
  <c r="O890" i="34"/>
  <c r="C891" i="34"/>
  <c r="B891" i="34"/>
  <c r="O891" i="34"/>
  <c r="C892" i="34"/>
  <c r="B892" i="34"/>
  <c r="O892" i="34"/>
  <c r="C893" i="34"/>
  <c r="B893" i="34"/>
  <c r="O893" i="34"/>
  <c r="C894" i="34"/>
  <c r="B894" i="34"/>
  <c r="O894" i="34"/>
  <c r="C895" i="34"/>
  <c r="B895" i="34"/>
  <c r="O895" i="34"/>
  <c r="C896" i="34"/>
  <c r="B896" i="34"/>
  <c r="O896" i="34"/>
  <c r="C897" i="34"/>
  <c r="B897" i="34"/>
  <c r="O897" i="34"/>
  <c r="C898" i="34"/>
  <c r="B898" i="34"/>
  <c r="O898" i="34"/>
  <c r="C899" i="34"/>
  <c r="B899" i="34"/>
  <c r="O899" i="34"/>
  <c r="C900" i="34"/>
  <c r="B900" i="34"/>
  <c r="O900" i="34"/>
  <c r="C901" i="34"/>
  <c r="B901" i="34"/>
  <c r="O901" i="34"/>
  <c r="C902" i="34"/>
  <c r="B902" i="34"/>
  <c r="O902" i="34"/>
  <c r="C903" i="34"/>
  <c r="B903" i="34"/>
  <c r="O903" i="34"/>
  <c r="C904" i="34"/>
  <c r="B904" i="34"/>
  <c r="O904" i="34"/>
  <c r="C905" i="34"/>
  <c r="B905" i="34"/>
  <c r="O905" i="34"/>
  <c r="C906" i="34"/>
  <c r="B906" i="34"/>
  <c r="O906" i="34"/>
  <c r="C907" i="34"/>
  <c r="B907" i="34"/>
  <c r="O907" i="34"/>
  <c r="C908" i="34"/>
  <c r="B908" i="34"/>
  <c r="O908" i="34"/>
  <c r="C909" i="34"/>
  <c r="B909" i="34"/>
  <c r="O909" i="34"/>
  <c r="C910" i="34"/>
  <c r="B910" i="34"/>
  <c r="O910" i="34"/>
  <c r="C911" i="34"/>
  <c r="B911" i="34"/>
  <c r="O911" i="34"/>
  <c r="C912" i="34"/>
  <c r="B912" i="34"/>
  <c r="O912" i="34"/>
  <c r="C913" i="34"/>
  <c r="B913" i="34"/>
  <c r="O913" i="34"/>
  <c r="C914" i="34"/>
  <c r="B914" i="34"/>
  <c r="O914" i="34"/>
  <c r="C915" i="34"/>
  <c r="B915" i="34"/>
  <c r="O915" i="34"/>
  <c r="C916" i="34"/>
  <c r="B916" i="34"/>
  <c r="O916" i="34"/>
  <c r="C917" i="34"/>
  <c r="B917" i="34"/>
  <c r="O917" i="34"/>
  <c r="C918" i="34"/>
  <c r="B918" i="34"/>
  <c r="O918" i="34"/>
  <c r="C919" i="34"/>
  <c r="B919" i="34"/>
  <c r="O919" i="34"/>
  <c r="C920" i="34"/>
  <c r="B920" i="34"/>
  <c r="O920" i="34"/>
  <c r="C921" i="34"/>
  <c r="B921" i="34"/>
  <c r="O921" i="34"/>
  <c r="C922" i="34"/>
  <c r="B922" i="34"/>
  <c r="O922" i="34"/>
  <c r="C923" i="34"/>
  <c r="B923" i="34"/>
  <c r="O923" i="34"/>
  <c r="C924" i="34"/>
  <c r="B924" i="34"/>
  <c r="O924" i="34"/>
  <c r="C925" i="34"/>
  <c r="B925" i="34"/>
  <c r="O925" i="34"/>
  <c r="C926" i="34"/>
  <c r="B926" i="34"/>
  <c r="O926" i="34"/>
  <c r="C927" i="34"/>
  <c r="B927" i="34"/>
  <c r="O927" i="34"/>
  <c r="C928" i="34"/>
  <c r="B928" i="34"/>
  <c r="O928" i="34"/>
  <c r="C929" i="34"/>
  <c r="B929" i="34"/>
  <c r="O929" i="34"/>
  <c r="C930" i="34"/>
  <c r="B930" i="34"/>
  <c r="O930" i="34"/>
  <c r="C931" i="34"/>
  <c r="B931" i="34"/>
  <c r="O931" i="34"/>
  <c r="C932" i="34"/>
  <c r="B932" i="34"/>
  <c r="O932" i="34"/>
  <c r="C933" i="34"/>
  <c r="B933" i="34"/>
  <c r="O933" i="34"/>
  <c r="C934" i="34"/>
  <c r="B934" i="34"/>
  <c r="O934" i="34"/>
  <c r="C935" i="34"/>
  <c r="B935" i="34"/>
  <c r="O935" i="34"/>
  <c r="C936" i="34"/>
  <c r="B936" i="34"/>
  <c r="O936" i="34"/>
  <c r="C937" i="34"/>
  <c r="B937" i="34"/>
  <c r="O937" i="34"/>
  <c r="C938" i="34"/>
  <c r="B938" i="34"/>
  <c r="O938" i="34"/>
  <c r="C939" i="34"/>
  <c r="B939" i="34"/>
  <c r="O939" i="34"/>
  <c r="C940" i="34"/>
  <c r="B940" i="34"/>
  <c r="O940" i="34"/>
  <c r="C941" i="34"/>
  <c r="B941" i="34"/>
  <c r="O941" i="34"/>
  <c r="C942" i="34"/>
  <c r="B942" i="34"/>
  <c r="O942" i="34"/>
  <c r="C943" i="34"/>
  <c r="B943" i="34"/>
  <c r="O943" i="34"/>
  <c r="C944" i="34"/>
  <c r="B944" i="34"/>
  <c r="O944" i="34"/>
  <c r="C945" i="34"/>
  <c r="B945" i="34"/>
  <c r="O945" i="34"/>
  <c r="C946" i="34"/>
  <c r="B946" i="34"/>
  <c r="O946" i="34"/>
  <c r="C947" i="34"/>
  <c r="B947" i="34"/>
  <c r="O947" i="34"/>
  <c r="C948" i="34"/>
  <c r="B948" i="34"/>
  <c r="O948" i="34"/>
  <c r="C949" i="34"/>
  <c r="B949" i="34"/>
  <c r="O949" i="34"/>
  <c r="C950" i="34"/>
  <c r="B950" i="34"/>
  <c r="O950" i="34"/>
  <c r="C951" i="34"/>
  <c r="B951" i="34"/>
  <c r="O951" i="34"/>
  <c r="C952" i="34"/>
  <c r="B952" i="34"/>
  <c r="O952" i="34"/>
  <c r="C953" i="34"/>
  <c r="B953" i="34"/>
  <c r="O953" i="34"/>
  <c r="C954" i="34"/>
  <c r="B954" i="34"/>
  <c r="O954" i="34"/>
  <c r="C955" i="34"/>
  <c r="B955" i="34"/>
  <c r="O955" i="34"/>
  <c r="C956" i="34"/>
  <c r="B956" i="34"/>
  <c r="O956" i="34"/>
  <c r="C957" i="34"/>
  <c r="B957" i="34"/>
  <c r="O957" i="34"/>
  <c r="C958" i="34"/>
  <c r="B958" i="34"/>
  <c r="O958" i="34"/>
  <c r="C959" i="34"/>
  <c r="B959" i="34"/>
  <c r="O959" i="34"/>
  <c r="C960" i="34"/>
  <c r="B960" i="34"/>
  <c r="O960" i="34"/>
  <c r="C961" i="34"/>
  <c r="B961" i="34"/>
  <c r="O961" i="34"/>
  <c r="C962" i="34"/>
  <c r="B962" i="34"/>
  <c r="O962" i="34"/>
  <c r="C963" i="34"/>
  <c r="B963" i="34"/>
  <c r="O963" i="34"/>
  <c r="C964" i="34"/>
  <c r="B964" i="34"/>
  <c r="O964" i="34"/>
  <c r="C965" i="34"/>
  <c r="B965" i="34"/>
  <c r="O965" i="34"/>
  <c r="C966" i="34"/>
  <c r="B966" i="34"/>
  <c r="O966" i="34"/>
  <c r="C967" i="34"/>
  <c r="B967" i="34"/>
  <c r="O967" i="34"/>
  <c r="C968" i="34"/>
  <c r="B968" i="34"/>
  <c r="O968" i="34"/>
  <c r="C969" i="34"/>
  <c r="B969" i="34"/>
  <c r="O969" i="34"/>
  <c r="C970" i="34"/>
  <c r="B970" i="34"/>
  <c r="O970" i="34"/>
  <c r="C971" i="34"/>
  <c r="B971" i="34"/>
  <c r="O971" i="34"/>
  <c r="C972" i="34"/>
  <c r="B972" i="34"/>
  <c r="O972" i="34"/>
  <c r="C973" i="34"/>
  <c r="B973" i="34"/>
  <c r="O973" i="34"/>
  <c r="C974" i="34"/>
  <c r="B974" i="34"/>
  <c r="O974" i="34"/>
  <c r="C975" i="34"/>
  <c r="B975" i="34"/>
  <c r="O975" i="34"/>
  <c r="C976" i="34"/>
  <c r="B976" i="34"/>
  <c r="O976" i="34"/>
  <c r="C977" i="34"/>
  <c r="B977" i="34"/>
  <c r="O977" i="34"/>
  <c r="C978" i="34"/>
  <c r="B978" i="34"/>
  <c r="O978" i="34"/>
  <c r="C979" i="34"/>
  <c r="B979" i="34"/>
  <c r="O979" i="34"/>
  <c r="C980" i="34"/>
  <c r="B980" i="34"/>
  <c r="O980" i="34"/>
  <c r="C981" i="34"/>
  <c r="B981" i="34"/>
  <c r="O981" i="34"/>
  <c r="C982" i="34"/>
  <c r="B982" i="34"/>
  <c r="O982" i="34"/>
  <c r="C983" i="34"/>
  <c r="B983" i="34"/>
  <c r="O983" i="34"/>
  <c r="C984" i="34"/>
  <c r="B984" i="34"/>
  <c r="O984" i="34"/>
  <c r="C985" i="34"/>
  <c r="B985" i="34"/>
  <c r="O985" i="34"/>
  <c r="C986" i="34"/>
  <c r="B986" i="34"/>
  <c r="O986" i="34"/>
  <c r="C987" i="34"/>
  <c r="B987" i="34"/>
  <c r="O987" i="34"/>
  <c r="C988" i="34"/>
  <c r="B988" i="34"/>
  <c r="O988" i="34"/>
  <c r="C989" i="34"/>
  <c r="B989" i="34"/>
  <c r="O989" i="34"/>
  <c r="C990" i="34"/>
  <c r="B990" i="34"/>
  <c r="O990" i="34"/>
  <c r="C991" i="34"/>
  <c r="B991" i="34"/>
  <c r="O991" i="34"/>
  <c r="C992" i="34"/>
  <c r="B992" i="34"/>
  <c r="O992" i="34"/>
  <c r="C993" i="34"/>
  <c r="B993" i="34"/>
  <c r="O993" i="34"/>
  <c r="C994" i="34"/>
  <c r="B994" i="34"/>
  <c r="O994" i="34"/>
  <c r="C995" i="34"/>
  <c r="B995" i="34"/>
  <c r="O995" i="34"/>
  <c r="C996" i="34"/>
  <c r="B996" i="34"/>
  <c r="O996" i="34"/>
  <c r="C997" i="34"/>
  <c r="B997" i="34"/>
  <c r="O997" i="34"/>
  <c r="C998" i="34"/>
  <c r="B998" i="34"/>
  <c r="O998" i="34"/>
  <c r="C999" i="34"/>
  <c r="B999" i="34"/>
  <c r="O999" i="34"/>
  <c r="C1000" i="34"/>
  <c r="B1000" i="34"/>
  <c r="O1000" i="34"/>
  <c r="C1001" i="34"/>
  <c r="B1001" i="34"/>
  <c r="O1001" i="34"/>
  <c r="C1002" i="34"/>
  <c r="B1002" i="34"/>
  <c r="O1002" i="34"/>
  <c r="C1003" i="34"/>
  <c r="B1003" i="34"/>
  <c r="O1003" i="34"/>
  <c r="C1004" i="34"/>
  <c r="B1004" i="34"/>
  <c r="O1004" i="34"/>
  <c r="C1005" i="34"/>
  <c r="B1005" i="34"/>
  <c r="O1005" i="34"/>
  <c r="C1006" i="34"/>
  <c r="B1006" i="34"/>
  <c r="O1006" i="34"/>
  <c r="C1007" i="34"/>
  <c r="B1007" i="34"/>
  <c r="O1007" i="34"/>
  <c r="C1008" i="34"/>
  <c r="B1008" i="34"/>
  <c r="O1008" i="34"/>
  <c r="C1009" i="34"/>
  <c r="B1009" i="34"/>
  <c r="O1009" i="34"/>
  <c r="C1010" i="34"/>
  <c r="B1010" i="34"/>
  <c r="O1010" i="34"/>
  <c r="C1011" i="34"/>
  <c r="B1011" i="34"/>
  <c r="O1011" i="34"/>
  <c r="C1012" i="34"/>
  <c r="B1012" i="34"/>
  <c r="O1012" i="34"/>
  <c r="C1013" i="34"/>
  <c r="B1013" i="34"/>
  <c r="O1013" i="34"/>
  <c r="C1014" i="34"/>
  <c r="B1014" i="34"/>
  <c r="O1014" i="34"/>
  <c r="C1015" i="34"/>
  <c r="B1015" i="34"/>
  <c r="O1015" i="34"/>
  <c r="C1016" i="34"/>
  <c r="B1016" i="34"/>
  <c r="O1016" i="34"/>
  <c r="C1017" i="34"/>
  <c r="B1017" i="34"/>
  <c r="O1017" i="34"/>
  <c r="C1018" i="34"/>
  <c r="B1018" i="34"/>
  <c r="O1018" i="34"/>
  <c r="C1019" i="34"/>
  <c r="B1019" i="34"/>
  <c r="O1019" i="34"/>
  <c r="C1020" i="34"/>
  <c r="B1020" i="34"/>
  <c r="O1020" i="34"/>
  <c r="C1021" i="34"/>
  <c r="B1021" i="34"/>
  <c r="O1021" i="34"/>
  <c r="C1022" i="34"/>
  <c r="B1022" i="34"/>
  <c r="O1022" i="34"/>
  <c r="C1023" i="34"/>
  <c r="B1023" i="34"/>
  <c r="O1023" i="34"/>
  <c r="C1024" i="34"/>
  <c r="B1024" i="34"/>
  <c r="O1024" i="34"/>
  <c r="C1025" i="34"/>
  <c r="B1025" i="34"/>
  <c r="O1025" i="34"/>
  <c r="C1026" i="34"/>
  <c r="B1026" i="34"/>
  <c r="O1026" i="34"/>
  <c r="C1027" i="34"/>
  <c r="B1027" i="34"/>
  <c r="O1027" i="34"/>
  <c r="C1028" i="34"/>
  <c r="B1028" i="34"/>
  <c r="O1028" i="34"/>
  <c r="C1029" i="34"/>
  <c r="B1029" i="34"/>
  <c r="O1029" i="34"/>
  <c r="C1030" i="34"/>
  <c r="B1030" i="34"/>
  <c r="O1030" i="34"/>
  <c r="C1031" i="34"/>
  <c r="B1031" i="34"/>
  <c r="O1031" i="34"/>
  <c r="C1032" i="34"/>
  <c r="B1032" i="34"/>
  <c r="O1032" i="34"/>
  <c r="C1033" i="34"/>
  <c r="B1033" i="34"/>
  <c r="O1033" i="34"/>
  <c r="C1034" i="34"/>
  <c r="B1034" i="34"/>
  <c r="O1034" i="34"/>
  <c r="C1035" i="34"/>
  <c r="B1035" i="34"/>
  <c r="O1035" i="34"/>
  <c r="C1036" i="34"/>
  <c r="B1036" i="34"/>
  <c r="O1036" i="34"/>
  <c r="C1037" i="34"/>
  <c r="B1037" i="34"/>
  <c r="O1037" i="34"/>
  <c r="C1038" i="34"/>
  <c r="B1038" i="34"/>
  <c r="O1038" i="34"/>
  <c r="C1039" i="34"/>
  <c r="B1039" i="34"/>
  <c r="O1039" i="34"/>
  <c r="C1040" i="34"/>
  <c r="B1040" i="34"/>
  <c r="O1040" i="34"/>
  <c r="C1041" i="34"/>
  <c r="B1041" i="34"/>
  <c r="O1041" i="34"/>
  <c r="C1042" i="34"/>
  <c r="B1042" i="34"/>
  <c r="O1042" i="34"/>
  <c r="C1043" i="34"/>
  <c r="B1043" i="34"/>
  <c r="O1043" i="34"/>
  <c r="C1044" i="34"/>
  <c r="B1044" i="34"/>
  <c r="O1044" i="34"/>
  <c r="C1045" i="34"/>
  <c r="B1045" i="34"/>
  <c r="O1045" i="34"/>
  <c r="C1046" i="34"/>
  <c r="B1046" i="34"/>
  <c r="O1046" i="34"/>
  <c r="C1047" i="34"/>
  <c r="B1047" i="34"/>
  <c r="O1047" i="34"/>
  <c r="C1048" i="34"/>
  <c r="B1048" i="34"/>
  <c r="O1048" i="34"/>
  <c r="C1049" i="34"/>
  <c r="B1049" i="34"/>
  <c r="O1049" i="34"/>
  <c r="C1050" i="34"/>
  <c r="B1050" i="34"/>
  <c r="O1050" i="34"/>
  <c r="C1051" i="34"/>
  <c r="B1051" i="34"/>
  <c r="O1051" i="34"/>
  <c r="C1052" i="34"/>
  <c r="B1052" i="34"/>
  <c r="O1052" i="34"/>
  <c r="C1053" i="34"/>
  <c r="B1053" i="34"/>
  <c r="O1053" i="34"/>
  <c r="C1054" i="34"/>
  <c r="B1054" i="34"/>
  <c r="O1054" i="34"/>
  <c r="C1055" i="34"/>
  <c r="B1055" i="34"/>
  <c r="O1055" i="34"/>
  <c r="C1056" i="34"/>
  <c r="B1056" i="34"/>
  <c r="O1056" i="34"/>
  <c r="C1057" i="34"/>
  <c r="B1057" i="34"/>
  <c r="O1057" i="34"/>
  <c r="C1058" i="34"/>
  <c r="B1058" i="34"/>
  <c r="O1058" i="34"/>
  <c r="C1059" i="34"/>
  <c r="B1059" i="34"/>
  <c r="O1059" i="34"/>
  <c r="C1060" i="34"/>
  <c r="B1060" i="34"/>
  <c r="O1060" i="34"/>
  <c r="C1061" i="34"/>
  <c r="B1061" i="34"/>
  <c r="O1061" i="34"/>
  <c r="C1062" i="34"/>
  <c r="B1062" i="34"/>
  <c r="O1062" i="34"/>
  <c r="C1063" i="34"/>
  <c r="B1063" i="34"/>
  <c r="O1063" i="34"/>
  <c r="C1064" i="34"/>
  <c r="B1064" i="34"/>
  <c r="O1064" i="34"/>
  <c r="C1065" i="34"/>
  <c r="B1065" i="34"/>
  <c r="O1065" i="34"/>
  <c r="C1066" i="34"/>
  <c r="B1066" i="34"/>
  <c r="O1066" i="34"/>
  <c r="C1067" i="34"/>
  <c r="B1067" i="34"/>
  <c r="O1067" i="34"/>
  <c r="C1068" i="34"/>
  <c r="B1068" i="34"/>
  <c r="O1068" i="34"/>
  <c r="C1069" i="34"/>
  <c r="B1069" i="34"/>
  <c r="O1069" i="34"/>
  <c r="C1070" i="34"/>
  <c r="B1070" i="34"/>
  <c r="O1070" i="34"/>
  <c r="C1071" i="34"/>
  <c r="B1071" i="34"/>
  <c r="O1071" i="34"/>
  <c r="C1072" i="34"/>
  <c r="B1072" i="34"/>
  <c r="O1072" i="34"/>
  <c r="C1073" i="34"/>
  <c r="B1073" i="34"/>
  <c r="O1073" i="34"/>
  <c r="C1074" i="34"/>
  <c r="B1074" i="34"/>
  <c r="O1074" i="34"/>
  <c r="C1075" i="34"/>
  <c r="B1075" i="34"/>
  <c r="O1075" i="34"/>
  <c r="C1076" i="34"/>
  <c r="B1076" i="34"/>
  <c r="O1076" i="34"/>
  <c r="C1077" i="34"/>
  <c r="B1077" i="34"/>
  <c r="O1077" i="34"/>
  <c r="C1078" i="34"/>
  <c r="B1078" i="34"/>
  <c r="O1078" i="34"/>
  <c r="C1079" i="34"/>
  <c r="B1079" i="34"/>
  <c r="O1079" i="34"/>
  <c r="C1080" i="34"/>
  <c r="B1080" i="34"/>
  <c r="O1080" i="34"/>
  <c r="C1081" i="34"/>
  <c r="B1081" i="34"/>
  <c r="O1081" i="34"/>
  <c r="C1082" i="34"/>
  <c r="B1082" i="34"/>
  <c r="O1082" i="34"/>
  <c r="C1083" i="34"/>
  <c r="B1083" i="34"/>
  <c r="O1083" i="34"/>
  <c r="C1084" i="34"/>
  <c r="B1084" i="34"/>
  <c r="O1084" i="34"/>
  <c r="C1085" i="34"/>
  <c r="B1085" i="34"/>
  <c r="O1085" i="34"/>
  <c r="C1086" i="34"/>
  <c r="B1086" i="34"/>
  <c r="O1086" i="34"/>
  <c r="C1087" i="34"/>
  <c r="B1087" i="34"/>
  <c r="O1087" i="34"/>
  <c r="C1088" i="34"/>
  <c r="B1088" i="34"/>
  <c r="O1088" i="34"/>
  <c r="C1089" i="34"/>
  <c r="B1089" i="34"/>
  <c r="O1089" i="34"/>
  <c r="C1090" i="34"/>
  <c r="B1090" i="34"/>
  <c r="O1090" i="34"/>
  <c r="C1091" i="34"/>
  <c r="B1091" i="34"/>
  <c r="O1091" i="34"/>
  <c r="C1092" i="34"/>
  <c r="B1092" i="34"/>
  <c r="O1092" i="34"/>
  <c r="C1093" i="34"/>
  <c r="B1093" i="34"/>
  <c r="O1093" i="34"/>
  <c r="C1094" i="34"/>
  <c r="B1094" i="34"/>
  <c r="O1094" i="34"/>
  <c r="C1095" i="34"/>
  <c r="B1095" i="34"/>
  <c r="O1095" i="34"/>
  <c r="C1096" i="34"/>
  <c r="B1096" i="34"/>
  <c r="O1096" i="34"/>
  <c r="C1097" i="34"/>
  <c r="B1097" i="34"/>
  <c r="O1097" i="34"/>
  <c r="C1098" i="34"/>
  <c r="B1098" i="34"/>
  <c r="O1098" i="34"/>
  <c r="C1099" i="34"/>
  <c r="B1099" i="34"/>
  <c r="O1099" i="34"/>
  <c r="C1100" i="34"/>
  <c r="B1100" i="34"/>
  <c r="O1100" i="34"/>
  <c r="C1101" i="34"/>
  <c r="B1101" i="34"/>
  <c r="O1101" i="34"/>
  <c r="C1102" i="34"/>
  <c r="B1102" i="34"/>
  <c r="O1102" i="34"/>
  <c r="C1103" i="34"/>
  <c r="B1103" i="34"/>
  <c r="O1103" i="34"/>
  <c r="C1104" i="34"/>
  <c r="B1104" i="34"/>
  <c r="O1104" i="34"/>
  <c r="C1105" i="34"/>
  <c r="B1105" i="34"/>
  <c r="O1105" i="34"/>
  <c r="C1106" i="34"/>
  <c r="B1106" i="34"/>
  <c r="O1106" i="34"/>
  <c r="C1107" i="34"/>
  <c r="B1107" i="34"/>
  <c r="O1107" i="34"/>
  <c r="C1108" i="34"/>
  <c r="B1108" i="34"/>
  <c r="O1108" i="34"/>
  <c r="C1109" i="34"/>
  <c r="B1109" i="34"/>
  <c r="O1109" i="34"/>
  <c r="C1110" i="34"/>
  <c r="B1110" i="34"/>
  <c r="O1110" i="34"/>
  <c r="C1111" i="34"/>
  <c r="B1111" i="34"/>
  <c r="O1111" i="34"/>
  <c r="C1112" i="34"/>
  <c r="B1112" i="34"/>
  <c r="O1112" i="34"/>
  <c r="C1113" i="34"/>
  <c r="B1113" i="34"/>
  <c r="O1113" i="34"/>
  <c r="C1114" i="34"/>
  <c r="B1114" i="34"/>
  <c r="O1114" i="34"/>
  <c r="C1115" i="34"/>
  <c r="B1115" i="34"/>
  <c r="O1115" i="34"/>
  <c r="C1116" i="34"/>
  <c r="B1116" i="34"/>
  <c r="O1116" i="34"/>
  <c r="C1117" i="34"/>
  <c r="B1117" i="34"/>
  <c r="O1117" i="34"/>
  <c r="C1118" i="34"/>
  <c r="B1118" i="34"/>
  <c r="O1118" i="34"/>
  <c r="C1119" i="34"/>
  <c r="B1119" i="34"/>
  <c r="O1119" i="34"/>
  <c r="C1120" i="34"/>
  <c r="B1120" i="34"/>
  <c r="O1120" i="34"/>
  <c r="C1121" i="34"/>
  <c r="B1121" i="34"/>
  <c r="O1121" i="34"/>
  <c r="C1122" i="34"/>
  <c r="B1122" i="34"/>
  <c r="O1122" i="34"/>
  <c r="C1123" i="34"/>
  <c r="B1123" i="34"/>
  <c r="O1123" i="34"/>
  <c r="C1124" i="34"/>
  <c r="B1124" i="34"/>
  <c r="O1124" i="34"/>
  <c r="C1125" i="34"/>
  <c r="B1125" i="34"/>
  <c r="O1125" i="34"/>
  <c r="C1126" i="34"/>
  <c r="B1126" i="34"/>
  <c r="O1126" i="34"/>
  <c r="C1127" i="34"/>
  <c r="B1127" i="34"/>
  <c r="O1127" i="34"/>
  <c r="C1128" i="34"/>
  <c r="B1128" i="34"/>
  <c r="O1128" i="34"/>
  <c r="C1129" i="34"/>
  <c r="B1129" i="34"/>
  <c r="O1129" i="34"/>
  <c r="C1130" i="34"/>
  <c r="B1130" i="34"/>
  <c r="O1130" i="34"/>
  <c r="C1131" i="34"/>
  <c r="B1131" i="34"/>
  <c r="O1131" i="34"/>
  <c r="C1132" i="34"/>
  <c r="B1132" i="34"/>
  <c r="O1132" i="34"/>
  <c r="C1133" i="34"/>
  <c r="B1133" i="34"/>
  <c r="O1133" i="34"/>
  <c r="C1134" i="34"/>
  <c r="B1134" i="34"/>
  <c r="O1134" i="34"/>
  <c r="C1135" i="34"/>
  <c r="B1135" i="34"/>
  <c r="O1135" i="34"/>
  <c r="C1136" i="34"/>
  <c r="B1136" i="34"/>
  <c r="O1136" i="34"/>
  <c r="C1137" i="34"/>
  <c r="B1137" i="34"/>
  <c r="O1137" i="34"/>
  <c r="C1138" i="34"/>
  <c r="B1138" i="34"/>
  <c r="O1138" i="34"/>
  <c r="C1139" i="34"/>
  <c r="B1139" i="34"/>
  <c r="O1139" i="34"/>
  <c r="C1140" i="34"/>
  <c r="B1140" i="34"/>
  <c r="O1140" i="34"/>
  <c r="C1141" i="34"/>
  <c r="B1141" i="34"/>
  <c r="O1141" i="34"/>
  <c r="C1142" i="34"/>
  <c r="B1142" i="34"/>
  <c r="O1142" i="34"/>
  <c r="C1143" i="34"/>
  <c r="B1143" i="34"/>
  <c r="O1143" i="34"/>
  <c r="C1144" i="34"/>
  <c r="B1144" i="34"/>
  <c r="O1144" i="34"/>
  <c r="C1145" i="34"/>
  <c r="B1145" i="34"/>
  <c r="O1145" i="34"/>
  <c r="C1146" i="34"/>
  <c r="B1146" i="34"/>
  <c r="O1146" i="34"/>
  <c r="C1147" i="34"/>
  <c r="B1147" i="34"/>
  <c r="O1147" i="34"/>
  <c r="C1148" i="34"/>
  <c r="B1148" i="34"/>
  <c r="O1148" i="34"/>
  <c r="C1149" i="34"/>
  <c r="B1149" i="34"/>
  <c r="O1149" i="34"/>
  <c r="C1150" i="34"/>
  <c r="B1150" i="34"/>
  <c r="O1150" i="34"/>
  <c r="C1151" i="34"/>
  <c r="B1151" i="34"/>
  <c r="O1151" i="34"/>
  <c r="C1152" i="34"/>
  <c r="B1152" i="34"/>
  <c r="O1152" i="34"/>
  <c r="C1153" i="34"/>
  <c r="B1153" i="34"/>
  <c r="O1153" i="34"/>
  <c r="C1154" i="34"/>
  <c r="B1154" i="34"/>
  <c r="O1154" i="34"/>
  <c r="C1155" i="34"/>
  <c r="B1155" i="34"/>
  <c r="O1155" i="34"/>
  <c r="C1156" i="34"/>
  <c r="B1156" i="34"/>
  <c r="O1156" i="34"/>
  <c r="C1157" i="34"/>
  <c r="B1157" i="34"/>
  <c r="O1157" i="34"/>
  <c r="C1158" i="34"/>
  <c r="B1158" i="34"/>
  <c r="O1158" i="34"/>
  <c r="C1159" i="34"/>
  <c r="B1159" i="34"/>
  <c r="O1159" i="34"/>
  <c r="C1160" i="34"/>
  <c r="B1160" i="34"/>
  <c r="O1160" i="34"/>
  <c r="C1161" i="34"/>
  <c r="B1161" i="34"/>
  <c r="O1161" i="34"/>
  <c r="C1162" i="34"/>
  <c r="B1162" i="34"/>
  <c r="O1162" i="34"/>
  <c r="C1163" i="34"/>
  <c r="B1163" i="34"/>
  <c r="O1163" i="34"/>
  <c r="C1164" i="34"/>
  <c r="B1164" i="34"/>
  <c r="O1164" i="34"/>
  <c r="C1165" i="34"/>
  <c r="B1165" i="34"/>
  <c r="O1165" i="34"/>
  <c r="C1166" i="34"/>
  <c r="B1166" i="34"/>
  <c r="O1166" i="34"/>
  <c r="C1167" i="34"/>
  <c r="B1167" i="34"/>
  <c r="O1167" i="34"/>
  <c r="C1168" i="34"/>
  <c r="B1168" i="34"/>
  <c r="O1168" i="34"/>
  <c r="C1169" i="34"/>
  <c r="B1169" i="34"/>
  <c r="O1169" i="34"/>
  <c r="C1170" i="34"/>
  <c r="B1170" i="34"/>
  <c r="O1170" i="34"/>
  <c r="C1171" i="34"/>
  <c r="B1171" i="34"/>
  <c r="O1171" i="34"/>
  <c r="C1172" i="34"/>
  <c r="B1172" i="34"/>
  <c r="O1172" i="34"/>
  <c r="C1173" i="34"/>
  <c r="B1173" i="34"/>
  <c r="O1173" i="34"/>
  <c r="C1174" i="34"/>
  <c r="B1174" i="34"/>
  <c r="O1174" i="34"/>
  <c r="C1175" i="34"/>
  <c r="B1175" i="34"/>
  <c r="O1175" i="34"/>
  <c r="C1176" i="34"/>
  <c r="B1176" i="34"/>
  <c r="O1176" i="34"/>
  <c r="C1177" i="34"/>
  <c r="B1177" i="34"/>
  <c r="O1177" i="34"/>
  <c r="C1178" i="34"/>
  <c r="B1178" i="34"/>
  <c r="O1178" i="34"/>
  <c r="C1179" i="34"/>
  <c r="B1179" i="34"/>
  <c r="O1179" i="34"/>
  <c r="C1180" i="34"/>
  <c r="B1180" i="34"/>
  <c r="O1180" i="34"/>
  <c r="C1181" i="34"/>
  <c r="B1181" i="34"/>
  <c r="O1181" i="34"/>
  <c r="C1182" i="34"/>
  <c r="B1182" i="34"/>
  <c r="O1182" i="34"/>
  <c r="C1183" i="34"/>
  <c r="B1183" i="34"/>
  <c r="O1183" i="34"/>
  <c r="C1184" i="34"/>
  <c r="B1184" i="34"/>
  <c r="O1184" i="34"/>
  <c r="C1185" i="34"/>
  <c r="B1185" i="34"/>
  <c r="O1185" i="34"/>
  <c r="C1186" i="34"/>
  <c r="B1186" i="34"/>
  <c r="O1186" i="34"/>
  <c r="C1187" i="34"/>
  <c r="B1187" i="34"/>
  <c r="O1187" i="34"/>
  <c r="C1188" i="34"/>
  <c r="B1188" i="34"/>
  <c r="O1188" i="34"/>
  <c r="C1189" i="34"/>
  <c r="B1189" i="34"/>
  <c r="O1189" i="34"/>
  <c r="C1190" i="34"/>
  <c r="B1190" i="34"/>
  <c r="O1190" i="34"/>
  <c r="C1191" i="34"/>
  <c r="B1191" i="34"/>
  <c r="O1191" i="34"/>
  <c r="C1192" i="34"/>
  <c r="B1192" i="34"/>
  <c r="O1192" i="34"/>
  <c r="C1193" i="34"/>
  <c r="B1193" i="34"/>
  <c r="O1193" i="34"/>
  <c r="C1194" i="34"/>
  <c r="B1194" i="34"/>
  <c r="O1194" i="34"/>
  <c r="C1195" i="34"/>
  <c r="B1195" i="34"/>
  <c r="O1195" i="34"/>
  <c r="C1196" i="34"/>
  <c r="B1196" i="34"/>
  <c r="O1196" i="34"/>
  <c r="C1197" i="34"/>
  <c r="B1197" i="34"/>
  <c r="O1197" i="34"/>
  <c r="C1198" i="34"/>
  <c r="B1198" i="34"/>
  <c r="O1198" i="34"/>
  <c r="C1199" i="34"/>
  <c r="B1199" i="34"/>
  <c r="O1199" i="34"/>
  <c r="C1200" i="34"/>
  <c r="B1200" i="34"/>
  <c r="O1200" i="34"/>
  <c r="C1201" i="34"/>
  <c r="B1201" i="34"/>
  <c r="O1201" i="34"/>
  <c r="C1202" i="34"/>
  <c r="B1202" i="34"/>
  <c r="O1202" i="34"/>
  <c r="C1203" i="34"/>
  <c r="B1203" i="34"/>
  <c r="O1203" i="34"/>
  <c r="C1204" i="34"/>
  <c r="B1204" i="34"/>
  <c r="O1204" i="34"/>
  <c r="C1205" i="34"/>
  <c r="B1205" i="34"/>
  <c r="O1205" i="34"/>
  <c r="C1206" i="34"/>
  <c r="B1206" i="34"/>
  <c r="O1206" i="34"/>
  <c r="C1207" i="34"/>
  <c r="B1207" i="34"/>
  <c r="O1207" i="34"/>
  <c r="C1208" i="34"/>
  <c r="B1208" i="34"/>
  <c r="O1208" i="34"/>
  <c r="C1209" i="34"/>
  <c r="B1209" i="34"/>
  <c r="O1209" i="34"/>
  <c r="C1210" i="34"/>
  <c r="B1210" i="34"/>
  <c r="O1210" i="34"/>
  <c r="C1211" i="34"/>
  <c r="B1211" i="34"/>
  <c r="O1211" i="34"/>
  <c r="C1212" i="34"/>
  <c r="B1212" i="34"/>
  <c r="O1212" i="34"/>
  <c r="C1213" i="34"/>
  <c r="B1213" i="34"/>
  <c r="O1213" i="34"/>
  <c r="C1214" i="34"/>
  <c r="B1214" i="34"/>
  <c r="O1214" i="34"/>
  <c r="C1215" i="34"/>
  <c r="B1215" i="34"/>
  <c r="O1215" i="34"/>
  <c r="C1216" i="34"/>
  <c r="B1216" i="34"/>
  <c r="O1216" i="34"/>
  <c r="C1217" i="34"/>
  <c r="B1217" i="34"/>
  <c r="O1217" i="34"/>
  <c r="C1218" i="34"/>
  <c r="B1218" i="34"/>
  <c r="O1218" i="34"/>
  <c r="C1219" i="34"/>
  <c r="B1219" i="34"/>
  <c r="O1219" i="34"/>
  <c r="C1220" i="34"/>
  <c r="B1220" i="34"/>
  <c r="O1220" i="34"/>
  <c r="C1221" i="34"/>
  <c r="B1221" i="34"/>
  <c r="O1221" i="34"/>
  <c r="C1222" i="34"/>
  <c r="B1222" i="34"/>
  <c r="O1222" i="34"/>
  <c r="C1223" i="34"/>
  <c r="B1223" i="34"/>
  <c r="O1223" i="34"/>
  <c r="C1224" i="34"/>
  <c r="B1224" i="34"/>
  <c r="O1224" i="34"/>
  <c r="C1225" i="34"/>
  <c r="B1225" i="34"/>
  <c r="O1225" i="34"/>
  <c r="C1226" i="34"/>
  <c r="B1226" i="34"/>
  <c r="O1226" i="34"/>
  <c r="C1227" i="34"/>
  <c r="B1227" i="34"/>
  <c r="O1227" i="34"/>
  <c r="C1228" i="34"/>
  <c r="B1228" i="34"/>
  <c r="O1228" i="34"/>
  <c r="C1229" i="34"/>
  <c r="B1229" i="34"/>
  <c r="O1229" i="34"/>
  <c r="C1230" i="34"/>
  <c r="B1230" i="34"/>
  <c r="O1230" i="34"/>
  <c r="C1231" i="34"/>
  <c r="B1231" i="34"/>
  <c r="O1231" i="34"/>
  <c r="C1232" i="34"/>
  <c r="B1232" i="34"/>
  <c r="O1232" i="34"/>
  <c r="C1233" i="34"/>
  <c r="B1233" i="34"/>
  <c r="O1233" i="34"/>
  <c r="C1234" i="34"/>
  <c r="B1234" i="34"/>
  <c r="O1234" i="34"/>
  <c r="C1235" i="34"/>
  <c r="B1235" i="34"/>
  <c r="O1235" i="34"/>
  <c r="C1236" i="34"/>
  <c r="B1236" i="34"/>
  <c r="O1236" i="34"/>
  <c r="C1237" i="34"/>
  <c r="B1237" i="34"/>
  <c r="O1237" i="34"/>
  <c r="C1238" i="34"/>
  <c r="B1238" i="34"/>
  <c r="O1238" i="34"/>
  <c r="C1239" i="34"/>
  <c r="B1239" i="34"/>
  <c r="O1239" i="34"/>
  <c r="C1240" i="34"/>
  <c r="B1240" i="34"/>
  <c r="O1240" i="34"/>
  <c r="C1241" i="34"/>
  <c r="B1241" i="34"/>
  <c r="O1241" i="34"/>
  <c r="C1242" i="34"/>
  <c r="B1242" i="34"/>
  <c r="O1242" i="34"/>
  <c r="C1243" i="34"/>
  <c r="B1243" i="34"/>
  <c r="O1243" i="34"/>
  <c r="C1244" i="34"/>
  <c r="B1244" i="34"/>
  <c r="O1244" i="34"/>
  <c r="C1245" i="34"/>
  <c r="B1245" i="34"/>
  <c r="O1245" i="34"/>
  <c r="C1246" i="34"/>
  <c r="B1246" i="34"/>
  <c r="O1246" i="34"/>
  <c r="C1247" i="34"/>
  <c r="B1247" i="34"/>
  <c r="O1247" i="34"/>
  <c r="C1248" i="34"/>
  <c r="B1248" i="34"/>
  <c r="O1248" i="34"/>
  <c r="C1249" i="34"/>
  <c r="B1249" i="34"/>
  <c r="O1249" i="34"/>
  <c r="C1250" i="34"/>
  <c r="B1250" i="34"/>
  <c r="O1250" i="34"/>
  <c r="C1251" i="34"/>
  <c r="B1251" i="34"/>
  <c r="O1251" i="34"/>
  <c r="C1252" i="34"/>
  <c r="B1252" i="34"/>
  <c r="O1252" i="34"/>
  <c r="C1253" i="34"/>
  <c r="B1253" i="34"/>
  <c r="O1253" i="34"/>
  <c r="C1254" i="34"/>
  <c r="B1254" i="34"/>
  <c r="O1254" i="34"/>
  <c r="C1255" i="34"/>
  <c r="B1255" i="34"/>
  <c r="O1255" i="34"/>
  <c r="C1256" i="34"/>
  <c r="B1256" i="34"/>
  <c r="O1256" i="34"/>
  <c r="C1257" i="34"/>
  <c r="B1257" i="34"/>
  <c r="O1257" i="34"/>
  <c r="C1258" i="34"/>
  <c r="B1258" i="34"/>
  <c r="O1258" i="34"/>
  <c r="C1259" i="34"/>
  <c r="B1259" i="34"/>
  <c r="O1259" i="34"/>
  <c r="C1260" i="34"/>
  <c r="B1260" i="34"/>
  <c r="O1260" i="34"/>
  <c r="C1261" i="34"/>
  <c r="B1261" i="34"/>
  <c r="O1261" i="34"/>
  <c r="C1262" i="34"/>
  <c r="B1262" i="34"/>
  <c r="O1262" i="34"/>
  <c r="C1263" i="34"/>
  <c r="B1263" i="34"/>
  <c r="O1263" i="34"/>
  <c r="C1264" i="34"/>
  <c r="B1264" i="34"/>
  <c r="O1264" i="34"/>
  <c r="C1265" i="34"/>
  <c r="B1265" i="34"/>
  <c r="O1265" i="34"/>
  <c r="C1266" i="34"/>
  <c r="B1266" i="34"/>
  <c r="O1266" i="34"/>
  <c r="C1267" i="34"/>
  <c r="B1267" i="34"/>
  <c r="O1267" i="34"/>
  <c r="C1268" i="34"/>
  <c r="B1268" i="34"/>
  <c r="O1268" i="34"/>
  <c r="C1269" i="34"/>
  <c r="B1269" i="34"/>
  <c r="O1269" i="34"/>
  <c r="C1270" i="34"/>
  <c r="B1270" i="34"/>
  <c r="O1270" i="34"/>
  <c r="C1271" i="34"/>
  <c r="B1271" i="34"/>
  <c r="O1271" i="34"/>
  <c r="C1272" i="34"/>
  <c r="B1272" i="34"/>
  <c r="O1272" i="34"/>
  <c r="C1273" i="34"/>
  <c r="B1273" i="34"/>
  <c r="O1273" i="34"/>
  <c r="C1274" i="34"/>
  <c r="B1274" i="34"/>
  <c r="O1274" i="34"/>
  <c r="C1275" i="34"/>
  <c r="B1275" i="34"/>
  <c r="O1275" i="34"/>
  <c r="C1276" i="34"/>
  <c r="B1276" i="34"/>
  <c r="O1276" i="34"/>
  <c r="C1277" i="34"/>
  <c r="B1277" i="34"/>
  <c r="O1277" i="34"/>
  <c r="C1278" i="34"/>
  <c r="B1278" i="34"/>
  <c r="O1278" i="34"/>
  <c r="C1279" i="34"/>
  <c r="B1279" i="34"/>
  <c r="O1279" i="34"/>
  <c r="C1280" i="34"/>
  <c r="B1280" i="34"/>
  <c r="O1280" i="34"/>
  <c r="C1281" i="34"/>
  <c r="B1281" i="34"/>
  <c r="O1281" i="34"/>
  <c r="C1282" i="34"/>
  <c r="B1282" i="34"/>
  <c r="O1282" i="34"/>
  <c r="C1283" i="34"/>
  <c r="B1283" i="34"/>
  <c r="O1283" i="34"/>
  <c r="C1284" i="34"/>
  <c r="B1284" i="34"/>
  <c r="O1284" i="34"/>
  <c r="C1285" i="34"/>
  <c r="B1285" i="34"/>
  <c r="O1285" i="34"/>
  <c r="C1286" i="34"/>
  <c r="B1286" i="34"/>
  <c r="O1286" i="34"/>
  <c r="C1287" i="34"/>
  <c r="B1287" i="34"/>
  <c r="O1287" i="34"/>
  <c r="C1288" i="34"/>
  <c r="B1288" i="34"/>
  <c r="O1288" i="34"/>
  <c r="C1289" i="34"/>
  <c r="B1289" i="34"/>
  <c r="O1289" i="34"/>
  <c r="C1290" i="34"/>
  <c r="B1290" i="34"/>
  <c r="O1290" i="34"/>
  <c r="C1291" i="34"/>
  <c r="B1291" i="34"/>
  <c r="O1291" i="34"/>
  <c r="C1292" i="34"/>
  <c r="B1292" i="34"/>
  <c r="O1292" i="34"/>
  <c r="C1293" i="34"/>
  <c r="B1293" i="34"/>
  <c r="O1293" i="34"/>
  <c r="C1294" i="34"/>
  <c r="B1294" i="34"/>
  <c r="O1294" i="34"/>
  <c r="C1295" i="34"/>
  <c r="B1295" i="34"/>
  <c r="O1295" i="34"/>
  <c r="C1296" i="34"/>
  <c r="B1296" i="34"/>
  <c r="O1296" i="34"/>
  <c r="C1297" i="34"/>
  <c r="B1297" i="34"/>
  <c r="O1297" i="34"/>
  <c r="C1298" i="34"/>
  <c r="B1298" i="34"/>
  <c r="O1298" i="34"/>
  <c r="C1299" i="34"/>
  <c r="B1299" i="34"/>
  <c r="O1299" i="34"/>
  <c r="C1300" i="34"/>
  <c r="B1300" i="34"/>
  <c r="O1300" i="34"/>
  <c r="C1301" i="34"/>
  <c r="B1301" i="34"/>
  <c r="O1301" i="34"/>
  <c r="C1302" i="34"/>
  <c r="B1302" i="34"/>
  <c r="O1302" i="34"/>
  <c r="C1303" i="34"/>
  <c r="B1303" i="34"/>
  <c r="O1303" i="34"/>
  <c r="C1304" i="34"/>
  <c r="B1304" i="34"/>
  <c r="O1304" i="34"/>
  <c r="C1305" i="34"/>
  <c r="B1305" i="34"/>
  <c r="O1305" i="34"/>
  <c r="C1306" i="34"/>
  <c r="B1306" i="34"/>
  <c r="O1306" i="34"/>
  <c r="C1307" i="34"/>
  <c r="B1307" i="34"/>
  <c r="O1307" i="34"/>
  <c r="C1308" i="34"/>
  <c r="B1308" i="34"/>
  <c r="O1308" i="34"/>
  <c r="C1309" i="34"/>
  <c r="B1309" i="34"/>
  <c r="O1309" i="34"/>
  <c r="C1310" i="34"/>
  <c r="B1310" i="34"/>
  <c r="O1310" i="34"/>
  <c r="C1311" i="34"/>
  <c r="B1311" i="34"/>
  <c r="O1311" i="34"/>
  <c r="C1312" i="34"/>
  <c r="B1312" i="34"/>
  <c r="O1312" i="34"/>
  <c r="C1313" i="34"/>
  <c r="B1313" i="34"/>
  <c r="O1313" i="34"/>
  <c r="C1314" i="34"/>
  <c r="B1314" i="34"/>
  <c r="O1314" i="34"/>
  <c r="C1315" i="34"/>
  <c r="B1315" i="34"/>
  <c r="O1315" i="34"/>
  <c r="C1316" i="34"/>
  <c r="B1316" i="34"/>
  <c r="O1316" i="34"/>
  <c r="C1317" i="34"/>
  <c r="B1317" i="34"/>
  <c r="O1317" i="34"/>
  <c r="C1318" i="34"/>
  <c r="B1318" i="34"/>
  <c r="O1318" i="34"/>
  <c r="C1319" i="34"/>
  <c r="B1319" i="34"/>
  <c r="O1319" i="34"/>
  <c r="C1320" i="34"/>
  <c r="B1320" i="34"/>
  <c r="O1320" i="34"/>
  <c r="C1321" i="34"/>
  <c r="B1321" i="34"/>
  <c r="O1321" i="34"/>
  <c r="C1322" i="34"/>
  <c r="B1322" i="34"/>
  <c r="O1322" i="34"/>
  <c r="C1323" i="34"/>
  <c r="B1323" i="34"/>
  <c r="O1323" i="34"/>
  <c r="C1324" i="34"/>
  <c r="B1324" i="34"/>
  <c r="O1324" i="34"/>
  <c r="C1325" i="34"/>
  <c r="B1325" i="34"/>
  <c r="O1325" i="34"/>
  <c r="C1326" i="34"/>
  <c r="B1326" i="34"/>
  <c r="O1326" i="34"/>
  <c r="C1327" i="34"/>
  <c r="B1327" i="34"/>
  <c r="O1327" i="34"/>
  <c r="C1328" i="34"/>
  <c r="B1328" i="34"/>
  <c r="O1328" i="34"/>
  <c r="C1329" i="34"/>
  <c r="B1329" i="34"/>
  <c r="O1329" i="34"/>
  <c r="C1330" i="34"/>
  <c r="B1330" i="34"/>
  <c r="O1330" i="34"/>
  <c r="C1331" i="34"/>
  <c r="B1331" i="34"/>
  <c r="O1331" i="34"/>
  <c r="C1332" i="34"/>
  <c r="B1332" i="34"/>
  <c r="O1332" i="34"/>
  <c r="C1333" i="34"/>
  <c r="B1333" i="34"/>
  <c r="O1333" i="34"/>
  <c r="C1334" i="34"/>
  <c r="B1334" i="34"/>
  <c r="O1334" i="34"/>
  <c r="C1335" i="34"/>
  <c r="B1335" i="34"/>
  <c r="O1335" i="34"/>
  <c r="C1336" i="34"/>
  <c r="B1336" i="34"/>
  <c r="O1336" i="34"/>
  <c r="C1337" i="34"/>
  <c r="B1337" i="34"/>
  <c r="O1337" i="34"/>
  <c r="C1338" i="34"/>
  <c r="B1338" i="34"/>
  <c r="O1338" i="34"/>
  <c r="C1339" i="34"/>
  <c r="B1339" i="34"/>
  <c r="O1339" i="34"/>
  <c r="C1340" i="34"/>
  <c r="B1340" i="34"/>
  <c r="O1340" i="34"/>
  <c r="C1341" i="34"/>
  <c r="B1341" i="34"/>
  <c r="O1341" i="34"/>
  <c r="C1342" i="34"/>
  <c r="B1342" i="34"/>
  <c r="O1342" i="34"/>
  <c r="C1343" i="34"/>
  <c r="B1343" i="34"/>
  <c r="O1343" i="34"/>
  <c r="C1344" i="34"/>
  <c r="B1344" i="34"/>
  <c r="O1344" i="34"/>
  <c r="C1345" i="34"/>
  <c r="B1345" i="34"/>
  <c r="O1345" i="34"/>
  <c r="C1346" i="34"/>
  <c r="B1346" i="34"/>
  <c r="O1346" i="34"/>
  <c r="C1347" i="34"/>
  <c r="B1347" i="34"/>
  <c r="O1347" i="34"/>
  <c r="C1348" i="34"/>
  <c r="B1348" i="34"/>
  <c r="O1348" i="34"/>
  <c r="C1349" i="34"/>
  <c r="B1349" i="34"/>
  <c r="O1349" i="34"/>
  <c r="C1350" i="34"/>
  <c r="B1350" i="34"/>
  <c r="O1350" i="34"/>
  <c r="C1351" i="34"/>
  <c r="B1351" i="34"/>
  <c r="O1351" i="34"/>
  <c r="C1352" i="34"/>
  <c r="B1352" i="34"/>
  <c r="O1352" i="34"/>
  <c r="C1353" i="34"/>
  <c r="B1353" i="34"/>
  <c r="O1353" i="34"/>
  <c r="C1354" i="34"/>
  <c r="B1354" i="34"/>
  <c r="O1354" i="34"/>
  <c r="C1355" i="34"/>
  <c r="B1355" i="34"/>
  <c r="O1355" i="34"/>
  <c r="C1356" i="34"/>
  <c r="B1356" i="34"/>
  <c r="O1356" i="34"/>
  <c r="C1357" i="34"/>
  <c r="B1357" i="34"/>
  <c r="O1357" i="34"/>
  <c r="C1358" i="34"/>
  <c r="B1358" i="34"/>
  <c r="O1358" i="34"/>
  <c r="C1359" i="34"/>
  <c r="B1359" i="34"/>
  <c r="O1359" i="34"/>
  <c r="C1360" i="34"/>
  <c r="B1360" i="34"/>
  <c r="O1360" i="34"/>
  <c r="C1361" i="34"/>
  <c r="B1361" i="34"/>
  <c r="O1361" i="34"/>
  <c r="C1362" i="34"/>
  <c r="B1362" i="34"/>
  <c r="O1362" i="34"/>
  <c r="C1363" i="34"/>
  <c r="B1363" i="34"/>
  <c r="O1363" i="34"/>
  <c r="C1364" i="34"/>
  <c r="B1364" i="34"/>
  <c r="O1364" i="34"/>
  <c r="C1365" i="34"/>
  <c r="B1365" i="34"/>
  <c r="O1365" i="34"/>
  <c r="C1366" i="34"/>
  <c r="B1366" i="34"/>
  <c r="O1366" i="34"/>
  <c r="C1367" i="34"/>
  <c r="B1367" i="34"/>
  <c r="O1367" i="34"/>
  <c r="C1368" i="34"/>
  <c r="B1368" i="34"/>
  <c r="O1368" i="34"/>
  <c r="C1369" i="34"/>
  <c r="B1369" i="34"/>
  <c r="O1369" i="34"/>
  <c r="C1370" i="34"/>
  <c r="B1370" i="34"/>
  <c r="O1370" i="34"/>
  <c r="C1371" i="34"/>
  <c r="B1371" i="34"/>
  <c r="O1371" i="34"/>
  <c r="C1372" i="34"/>
  <c r="B1372" i="34"/>
  <c r="O1372" i="34"/>
  <c r="C1373" i="34"/>
  <c r="B1373" i="34"/>
  <c r="O1373" i="34"/>
  <c r="C1374" i="34"/>
  <c r="B1374" i="34"/>
  <c r="O1374" i="34"/>
  <c r="C1375" i="34"/>
  <c r="B1375" i="34"/>
  <c r="O1375" i="34"/>
  <c r="C1376" i="34"/>
  <c r="B1376" i="34"/>
  <c r="O1376" i="34"/>
  <c r="C1377" i="34"/>
  <c r="B1377" i="34"/>
  <c r="O1377" i="34"/>
  <c r="C1378" i="34"/>
  <c r="B1378" i="34"/>
  <c r="O1378" i="34"/>
  <c r="C1379" i="34"/>
  <c r="B1379" i="34"/>
  <c r="O1379" i="34"/>
  <c r="C1380" i="34"/>
  <c r="B1380" i="34"/>
  <c r="O1380" i="34"/>
  <c r="C1381" i="34"/>
  <c r="B1381" i="34"/>
  <c r="O1381" i="34"/>
  <c r="C1382" i="34"/>
  <c r="B1382" i="34"/>
  <c r="O1382" i="34"/>
  <c r="C1383" i="34"/>
  <c r="B1383" i="34"/>
  <c r="O1383" i="34"/>
  <c r="C1384" i="34"/>
  <c r="B1384" i="34"/>
  <c r="O1384" i="34"/>
  <c r="C1385" i="34"/>
  <c r="B1385" i="34"/>
  <c r="O1385" i="34"/>
  <c r="C1386" i="34"/>
  <c r="B1386" i="34"/>
  <c r="O1386" i="34"/>
  <c r="C1387" i="34"/>
  <c r="B1387" i="34"/>
  <c r="O1387" i="34"/>
  <c r="C1388" i="34"/>
  <c r="B1388" i="34"/>
  <c r="O1388" i="34"/>
  <c r="C1389" i="34"/>
  <c r="B1389" i="34"/>
  <c r="O1389" i="34"/>
  <c r="C1390" i="34"/>
  <c r="B1390" i="34"/>
  <c r="O1390" i="34"/>
  <c r="C1391" i="34"/>
  <c r="B1391" i="34"/>
  <c r="O1391" i="34"/>
  <c r="C1392" i="34"/>
  <c r="B1392" i="34"/>
  <c r="O1392" i="34"/>
  <c r="B1393" i="34"/>
  <c r="O1393" i="34"/>
  <c r="B1394" i="34"/>
  <c r="O1394" i="34"/>
  <c r="B1395" i="34"/>
  <c r="O1395" i="34"/>
  <c r="B1396" i="34"/>
  <c r="O1396" i="34"/>
  <c r="A116" i="42"/>
  <c r="B116" i="42"/>
  <c r="C116" i="42"/>
  <c r="D116" i="42"/>
  <c r="E116" i="42"/>
  <c r="F116" i="42"/>
  <c r="G116" i="42"/>
  <c r="H116" i="42"/>
  <c r="I116" i="42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N14" i="34"/>
  <c r="N11" i="42"/>
  <c r="O11" i="42"/>
  <c r="P14" i="34"/>
  <c r="Q14" i="34"/>
  <c r="S14" i="34"/>
  <c r="T14" i="34"/>
  <c r="U14" i="34"/>
  <c r="V14" i="34"/>
  <c r="W14" i="34"/>
  <c r="X7" i="34"/>
  <c r="X14" i="34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5" i="34"/>
  <c r="P95" i="34"/>
  <c r="Q95" i="34"/>
  <c r="S95" i="34"/>
  <c r="T95" i="34"/>
  <c r="U95" i="34"/>
  <c r="V95" i="34"/>
  <c r="W95" i="34"/>
  <c r="X95" i="34"/>
  <c r="Y95" i="34"/>
  <c r="N96" i="34"/>
  <c r="P96" i="34"/>
  <c r="Q96" i="34"/>
  <c r="S96" i="34"/>
  <c r="T96" i="34"/>
  <c r="U96" i="34"/>
  <c r="V96" i="34"/>
  <c r="W96" i="34"/>
  <c r="X96" i="34"/>
  <c r="Y96" i="34"/>
  <c r="N97" i="34"/>
  <c r="P97" i="34"/>
  <c r="Q97" i="34"/>
  <c r="S97" i="34"/>
  <c r="T97" i="34"/>
  <c r="U97" i="34"/>
  <c r="V97" i="34"/>
  <c r="W97" i="34"/>
  <c r="X97" i="34"/>
  <c r="Y97" i="34"/>
  <c r="N98" i="34"/>
  <c r="P98" i="34"/>
  <c r="Q98" i="34"/>
  <c r="S98" i="34"/>
  <c r="T98" i="34"/>
  <c r="U98" i="34"/>
  <c r="V98" i="34"/>
  <c r="W98" i="34"/>
  <c r="X98" i="34"/>
  <c r="Y98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F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5" i="34"/>
  <c r="P155" i="34"/>
  <c r="Q155" i="34"/>
  <c r="S155" i="34"/>
  <c r="T155" i="34"/>
  <c r="U155" i="34"/>
  <c r="V155" i="34"/>
  <c r="W155" i="34"/>
  <c r="X155" i="34"/>
  <c r="Y155" i="34"/>
  <c r="N156" i="34"/>
  <c r="P156" i="34"/>
  <c r="Q156" i="34"/>
  <c r="S156" i="34"/>
  <c r="T156" i="34"/>
  <c r="U156" i="34"/>
  <c r="V156" i="34"/>
  <c r="W156" i="34"/>
  <c r="X156" i="34"/>
  <c r="Y156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838" i="34"/>
  <c r="P838" i="34"/>
  <c r="Q838" i="34"/>
  <c r="S838" i="34"/>
  <c r="T838" i="34"/>
  <c r="U838" i="34"/>
  <c r="V838" i="34"/>
  <c r="W838" i="34"/>
  <c r="X838" i="34"/>
  <c r="Y838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00" i="34"/>
  <c r="P200" i="34"/>
  <c r="Q200" i="34"/>
  <c r="S200" i="34"/>
  <c r="T200" i="34"/>
  <c r="U200" i="34"/>
  <c r="V200" i="34"/>
  <c r="W200" i="34"/>
  <c r="X200" i="34"/>
  <c r="Y200" i="34"/>
  <c r="N201" i="34"/>
  <c r="P201" i="34"/>
  <c r="Q201" i="34"/>
  <c r="S201" i="34"/>
  <c r="T201" i="34"/>
  <c r="U201" i="34"/>
  <c r="V201" i="34"/>
  <c r="W201" i="34"/>
  <c r="X201" i="34"/>
  <c r="Y201" i="34"/>
  <c r="N202" i="34"/>
  <c r="P202" i="34"/>
  <c r="Q202" i="34"/>
  <c r="S202" i="34"/>
  <c r="T202" i="34"/>
  <c r="U202" i="34"/>
  <c r="V202" i="34"/>
  <c r="W202" i="34"/>
  <c r="X202" i="34"/>
  <c r="Y202" i="34"/>
  <c r="N203" i="34"/>
  <c r="P203" i="34"/>
  <c r="Q203" i="34"/>
  <c r="S203" i="34"/>
  <c r="T203" i="34"/>
  <c r="U203" i="34"/>
  <c r="V203" i="34"/>
  <c r="W203" i="34"/>
  <c r="X203" i="34"/>
  <c r="Y203" i="34"/>
  <c r="N204" i="34"/>
  <c r="P204" i="34"/>
  <c r="Q204" i="34"/>
  <c r="S204" i="34"/>
  <c r="T204" i="34"/>
  <c r="U204" i="34"/>
  <c r="V204" i="34"/>
  <c r="W204" i="34"/>
  <c r="X204" i="34"/>
  <c r="Y204" i="34"/>
  <c r="N205" i="34"/>
  <c r="P205" i="34"/>
  <c r="Q205" i="34"/>
  <c r="S205" i="34"/>
  <c r="T205" i="34"/>
  <c r="U205" i="34"/>
  <c r="V205" i="34"/>
  <c r="W205" i="34"/>
  <c r="X205" i="34"/>
  <c r="Y205" i="34"/>
  <c r="N206" i="34"/>
  <c r="P206" i="34"/>
  <c r="Q206" i="34"/>
  <c r="S206" i="34"/>
  <c r="T206" i="34"/>
  <c r="U206" i="34"/>
  <c r="V206" i="34"/>
  <c r="W206" i="34"/>
  <c r="X206" i="34"/>
  <c r="Y206" i="34"/>
  <c r="N207" i="34"/>
  <c r="P207" i="34"/>
  <c r="Q207" i="34"/>
  <c r="S207" i="34"/>
  <c r="T207" i="34"/>
  <c r="U207" i="34"/>
  <c r="V207" i="34"/>
  <c r="W207" i="34"/>
  <c r="X207" i="34"/>
  <c r="Y207" i="34"/>
  <c r="N839" i="34"/>
  <c r="P839" i="34"/>
  <c r="Q839" i="34"/>
  <c r="S839" i="34"/>
  <c r="T839" i="34"/>
  <c r="U839" i="34"/>
  <c r="V839" i="34"/>
  <c r="W839" i="34"/>
  <c r="X839" i="34"/>
  <c r="Y839" i="34"/>
  <c r="N208" i="34"/>
  <c r="P208" i="34"/>
  <c r="Q208" i="34"/>
  <c r="S208" i="34"/>
  <c r="T208" i="34"/>
  <c r="U208" i="34"/>
  <c r="V208" i="34"/>
  <c r="W208" i="34"/>
  <c r="X208" i="34"/>
  <c r="Y208" i="34"/>
  <c r="N209" i="34"/>
  <c r="P209" i="34"/>
  <c r="Q209" i="34"/>
  <c r="S209" i="34"/>
  <c r="T209" i="34"/>
  <c r="U209" i="34"/>
  <c r="V209" i="34"/>
  <c r="W209" i="34"/>
  <c r="X209" i="34"/>
  <c r="Y209" i="34"/>
  <c r="N210" i="34"/>
  <c r="P210" i="34"/>
  <c r="Q210" i="34"/>
  <c r="S210" i="34"/>
  <c r="T210" i="34"/>
  <c r="U210" i="34"/>
  <c r="V210" i="34"/>
  <c r="W210" i="34"/>
  <c r="X210" i="34"/>
  <c r="Y210" i="34"/>
  <c r="N211" i="34"/>
  <c r="P211" i="34"/>
  <c r="Q211" i="34"/>
  <c r="S211" i="34"/>
  <c r="T211" i="34"/>
  <c r="U211" i="34"/>
  <c r="V211" i="34"/>
  <c r="W211" i="34"/>
  <c r="X211" i="34"/>
  <c r="Y211" i="34"/>
  <c r="N212" i="34"/>
  <c r="P212" i="34"/>
  <c r="Q212" i="34"/>
  <c r="S212" i="34"/>
  <c r="T212" i="34"/>
  <c r="U212" i="34"/>
  <c r="V212" i="34"/>
  <c r="W212" i="34"/>
  <c r="X212" i="34"/>
  <c r="Y212" i="34"/>
  <c r="N213" i="34"/>
  <c r="P213" i="34"/>
  <c r="Q213" i="34"/>
  <c r="S213" i="34"/>
  <c r="T213" i="34"/>
  <c r="U213" i="34"/>
  <c r="V213" i="34"/>
  <c r="W213" i="34"/>
  <c r="X213" i="34"/>
  <c r="Y213" i="34"/>
  <c r="N214" i="34"/>
  <c r="P214" i="34"/>
  <c r="Q214" i="34"/>
  <c r="S214" i="34"/>
  <c r="T214" i="34"/>
  <c r="U214" i="34"/>
  <c r="V214" i="34"/>
  <c r="W214" i="34"/>
  <c r="X214" i="34"/>
  <c r="Y214" i="34"/>
  <c r="N215" i="34"/>
  <c r="P215" i="34"/>
  <c r="Q215" i="34"/>
  <c r="S215" i="34"/>
  <c r="T215" i="34"/>
  <c r="U215" i="34"/>
  <c r="V215" i="34"/>
  <c r="W215" i="34"/>
  <c r="X215" i="34"/>
  <c r="Y215" i="34"/>
  <c r="N216" i="34"/>
  <c r="P216" i="34"/>
  <c r="Q216" i="34"/>
  <c r="S216" i="34"/>
  <c r="T216" i="34"/>
  <c r="U216" i="34"/>
  <c r="V216" i="34"/>
  <c r="W216" i="34"/>
  <c r="X216" i="34"/>
  <c r="Y216" i="34"/>
  <c r="N217" i="34"/>
  <c r="P217" i="34"/>
  <c r="Q217" i="34"/>
  <c r="S217" i="34"/>
  <c r="T217" i="34"/>
  <c r="U217" i="34"/>
  <c r="V217" i="34"/>
  <c r="W217" i="34"/>
  <c r="X217" i="34"/>
  <c r="Y217" i="34"/>
  <c r="N218" i="34"/>
  <c r="P218" i="34"/>
  <c r="Q218" i="34"/>
  <c r="S218" i="34"/>
  <c r="T218" i="34"/>
  <c r="U218" i="34"/>
  <c r="V218" i="34"/>
  <c r="W218" i="34"/>
  <c r="X218" i="34"/>
  <c r="Y218" i="34"/>
  <c r="N219" i="34"/>
  <c r="P219" i="34"/>
  <c r="Q219" i="34"/>
  <c r="S219" i="34"/>
  <c r="T219" i="34"/>
  <c r="U219" i="34"/>
  <c r="V219" i="34"/>
  <c r="W219" i="34"/>
  <c r="X219" i="34"/>
  <c r="Y219" i="34"/>
  <c r="N220" i="34"/>
  <c r="P220" i="34"/>
  <c r="Q220" i="34"/>
  <c r="S220" i="34"/>
  <c r="T220" i="34"/>
  <c r="U220" i="34"/>
  <c r="V220" i="34"/>
  <c r="W220" i="34"/>
  <c r="X220" i="34"/>
  <c r="Y220" i="34"/>
  <c r="N221" i="34"/>
  <c r="P221" i="34"/>
  <c r="Q221" i="34"/>
  <c r="S221" i="34"/>
  <c r="T221" i="34"/>
  <c r="U221" i="34"/>
  <c r="V221" i="34"/>
  <c r="W221" i="34"/>
  <c r="X221" i="34"/>
  <c r="Y221" i="34"/>
  <c r="N222" i="34"/>
  <c r="P222" i="34"/>
  <c r="Q222" i="34"/>
  <c r="S222" i="34"/>
  <c r="T222" i="34"/>
  <c r="U222" i="34"/>
  <c r="V222" i="34"/>
  <c r="W222" i="34"/>
  <c r="X222" i="34"/>
  <c r="Y222" i="34"/>
  <c r="N223" i="34"/>
  <c r="P223" i="34"/>
  <c r="Q223" i="34"/>
  <c r="S223" i="34"/>
  <c r="T223" i="34"/>
  <c r="U223" i="34"/>
  <c r="V223" i="34"/>
  <c r="W223" i="34"/>
  <c r="X223" i="34"/>
  <c r="Y223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F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842" i="34"/>
  <c r="P842" i="34"/>
  <c r="Q842" i="34"/>
  <c r="S842" i="34"/>
  <c r="T842" i="34"/>
  <c r="U842" i="34"/>
  <c r="V842" i="34"/>
  <c r="W842" i="34"/>
  <c r="X842" i="34"/>
  <c r="Y842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F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F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F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843" i="34"/>
  <c r="P843" i="34"/>
  <c r="Q843" i="34"/>
  <c r="S843" i="34"/>
  <c r="T843" i="34"/>
  <c r="U843" i="34"/>
  <c r="V843" i="34"/>
  <c r="W843" i="34"/>
  <c r="X843" i="34"/>
  <c r="Y843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F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65" i="34"/>
  <c r="P865" i="34"/>
  <c r="Q865" i="34"/>
  <c r="S865" i="34"/>
  <c r="T865" i="34"/>
  <c r="U865" i="34"/>
  <c r="V865" i="34"/>
  <c r="W865" i="34"/>
  <c r="X865" i="34"/>
  <c r="Y865" i="34"/>
  <c r="N866" i="34"/>
  <c r="P866" i="34"/>
  <c r="Q866" i="34"/>
  <c r="S866" i="34"/>
  <c r="T866" i="34"/>
  <c r="U866" i="34"/>
  <c r="V866" i="34"/>
  <c r="W866" i="34"/>
  <c r="X866" i="34"/>
  <c r="Y866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869" i="34"/>
  <c r="P869" i="34"/>
  <c r="Q869" i="34"/>
  <c r="S869" i="34"/>
  <c r="T869" i="34"/>
  <c r="U869" i="34"/>
  <c r="V869" i="34"/>
  <c r="W869" i="34"/>
  <c r="X869" i="34"/>
  <c r="Y869" i="34"/>
  <c r="N870" i="34"/>
  <c r="P870" i="34"/>
  <c r="Q870" i="34"/>
  <c r="S870" i="34"/>
  <c r="T870" i="34"/>
  <c r="U870" i="34"/>
  <c r="V870" i="34"/>
  <c r="W870" i="34"/>
  <c r="X870" i="34"/>
  <c r="Y870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" i="34"/>
  <c r="A14" i="34"/>
  <c r="A1395" i="34"/>
  <c r="A1396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/>
  <c r="C21" i="68"/>
  <c r="D21" i="68"/>
  <c r="E21" i="68"/>
  <c r="B22" i="68"/>
  <c r="A22" i="68"/>
  <c r="C22" i="68"/>
  <c r="D22" i="68"/>
  <c r="E22" i="68"/>
  <c r="B23" i="68"/>
  <c r="A23" i="68"/>
  <c r="C23" i="68"/>
  <c r="D23" i="68"/>
  <c r="E23" i="68"/>
  <c r="B24" i="68"/>
  <c r="A24" i="68"/>
  <c r="C24" i="68"/>
  <c r="D24" i="68"/>
  <c r="E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I269" i="60"/>
  <c r="I265" i="60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K319" i="34"/>
  <c r="K344" i="34"/>
  <c r="K354" i="34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I272" i="34"/>
  <c r="K227" i="34"/>
  <c r="I225" i="34"/>
  <c r="I208" i="34"/>
  <c r="I178" i="55" a="1"/>
  <c r="I178" i="55"/>
  <c r="I176" i="55" a="1"/>
  <c r="I176" i="55"/>
  <c r="I174" i="55" a="1"/>
  <c r="I174" i="55"/>
  <c r="G174" i="55" a="1"/>
  <c r="G174" i="55"/>
  <c r="G179" i="55" a="1"/>
  <c r="G179" i="55"/>
  <c r="I144" i="55" a="1"/>
  <c r="I144" i="55"/>
  <c r="G144" i="55" a="1"/>
  <c r="G144" i="55"/>
  <c r="I177" i="55" a="1"/>
  <c r="I177" i="55"/>
  <c r="I148" i="55" a="1"/>
  <c r="I148" i="55"/>
  <c r="I175" i="55" a="1"/>
  <c r="I175" i="55"/>
  <c r="G148" i="55" a="1"/>
  <c r="G148" i="55"/>
  <c r="G180" i="55" a="1"/>
  <c r="G180" i="55"/>
  <c r="I180" i="55" a="1"/>
  <c r="I180" i="55"/>
  <c r="G177" i="55" a="1"/>
  <c r="G177" i="55"/>
  <c r="G178" i="55" a="1"/>
  <c r="G178" i="55"/>
  <c r="G175" i="55" a="1"/>
  <c r="G175" i="55"/>
  <c r="G176" i="55" a="1"/>
  <c r="G176" i="55"/>
  <c r="I179" i="55" a="1"/>
  <c r="I179" i="55"/>
  <c r="G152" i="55" a="1"/>
  <c r="G152" i="55"/>
  <c r="I69" i="55" a="1"/>
  <c r="I69" i="55"/>
  <c r="I59" i="55" a="1"/>
  <c r="I59" i="55"/>
  <c r="I143" i="55" a="1"/>
  <c r="I143" i="55"/>
  <c r="I49" i="55" a="1"/>
  <c r="I49" i="55"/>
  <c r="I130" i="55" a="1"/>
  <c r="I130" i="55"/>
  <c r="I110" i="55" a="1"/>
  <c r="I110" i="55"/>
  <c r="I133" i="55" a="1"/>
  <c r="I133" i="55"/>
  <c r="I83" i="55" a="1"/>
  <c r="I83" i="55"/>
  <c r="I89" i="55" a="1"/>
  <c r="I89" i="55"/>
  <c r="G125" i="55" a="1"/>
  <c r="G125" i="55"/>
  <c r="G112" i="55" a="1"/>
  <c r="G112" i="55"/>
  <c r="I97" i="55" a="1"/>
  <c r="I97" i="55"/>
  <c r="I131" i="55" a="1"/>
  <c r="I131" i="55"/>
  <c r="I170" i="55" a="1"/>
  <c r="I170" i="55"/>
  <c r="I152" i="55" a="1"/>
  <c r="I152" i="55"/>
  <c r="G99" i="55" a="1"/>
  <c r="G99" i="55"/>
  <c r="G155" i="55" a="1"/>
  <c r="G155" i="55"/>
  <c r="G101" i="55" a="1"/>
  <c r="G101" i="55"/>
  <c r="G127" i="55" a="1"/>
  <c r="G127" i="55"/>
  <c r="G96" i="55" a="1"/>
  <c r="G96" i="55"/>
  <c r="G104" i="55" a="1"/>
  <c r="G104" i="55"/>
  <c r="I62" i="55" a="1"/>
  <c r="I62" i="55"/>
  <c r="I82" i="55" a="1"/>
  <c r="I82" i="55"/>
  <c r="G84" i="55" a="1"/>
  <c r="G84" i="55"/>
  <c r="G128" i="55" a="1"/>
  <c r="G128" i="55"/>
  <c r="I25" i="55" a="1"/>
  <c r="I25" i="55"/>
  <c r="I126" i="55" a="1"/>
  <c r="I126" i="55"/>
  <c r="I43" i="55" a="1"/>
  <c r="I43" i="55"/>
  <c r="I168" i="55" a="1"/>
  <c r="I168" i="55"/>
  <c r="I163" i="55" a="1"/>
  <c r="I163" i="55"/>
  <c r="I47" i="55" a="1"/>
  <c r="I47" i="55"/>
  <c r="I40" i="55" a="1"/>
  <c r="I40" i="55"/>
  <c r="G29" i="55" a="1"/>
  <c r="G29" i="55"/>
  <c r="I164" i="55" a="1"/>
  <c r="I164" i="55"/>
  <c r="G27" i="55" a="1"/>
  <c r="G27" i="55"/>
  <c r="I121" i="55" a="1"/>
  <c r="I121" i="55"/>
  <c r="G81" i="55" a="1"/>
  <c r="G81" i="55"/>
  <c r="I81" i="55" a="1"/>
  <c r="I81" i="55"/>
  <c r="G46" i="55" a="1"/>
  <c r="G46" i="55"/>
  <c r="G45" i="55" a="1"/>
  <c r="G45" i="55"/>
  <c r="G114" i="55" a="1"/>
  <c r="G114" i="55"/>
  <c r="G93" i="55" a="1"/>
  <c r="G93" i="55"/>
  <c r="G167" i="55" a="1"/>
  <c r="G167" i="55"/>
  <c r="G75" i="55" a="1"/>
  <c r="G75" i="55"/>
  <c r="I66" i="55" a="1"/>
  <c r="I66" i="55"/>
  <c r="I88" i="55" a="1"/>
  <c r="I88" i="55"/>
  <c r="G154" i="55" a="1"/>
  <c r="G154" i="55"/>
  <c r="G137" i="55" a="1"/>
  <c r="G137" i="55"/>
  <c r="G139" i="55" a="1"/>
  <c r="G139" i="55"/>
  <c r="I172" i="55" a="1"/>
  <c r="I172" i="55"/>
  <c r="G149" i="55" a="1"/>
  <c r="G149" i="55"/>
  <c r="G132" i="55" a="1"/>
  <c r="G132" i="55"/>
  <c r="G92" i="55" a="1"/>
  <c r="G92" i="55"/>
  <c r="I155" i="55" a="1"/>
  <c r="I155" i="55"/>
  <c r="I101" i="55" a="1"/>
  <c r="I101" i="55"/>
  <c r="I127" i="55" a="1"/>
  <c r="I127" i="55"/>
  <c r="I96" i="55" a="1"/>
  <c r="I96" i="55"/>
  <c r="I104" i="55" a="1"/>
  <c r="I104" i="55"/>
  <c r="G60" i="55" a="1"/>
  <c r="G60" i="55"/>
  <c r="G103" i="55" a="1"/>
  <c r="G103" i="55"/>
  <c r="I84" i="55" a="1"/>
  <c r="I84" i="55"/>
  <c r="I128" i="55" a="1"/>
  <c r="I128" i="55"/>
  <c r="I132" i="55" a="1"/>
  <c r="I132" i="55"/>
  <c r="G146" i="55" a="1"/>
  <c r="G146" i="55"/>
  <c r="G78" i="55" a="1"/>
  <c r="G78" i="55"/>
  <c r="G90" i="55" a="1"/>
  <c r="G90" i="55"/>
  <c r="I76" i="55" a="1"/>
  <c r="I76" i="55"/>
  <c r="G113" i="55" a="1"/>
  <c r="G113" i="55"/>
  <c r="G98" i="55" a="1"/>
  <c r="G98" i="55"/>
  <c r="G79" i="55" a="1"/>
  <c r="G79" i="55"/>
  <c r="I46" i="55" a="1"/>
  <c r="I46" i="55"/>
  <c r="I45" i="55" a="1"/>
  <c r="I45" i="55"/>
  <c r="I114" i="55" a="1"/>
  <c r="I114" i="55"/>
  <c r="I93" i="55" a="1"/>
  <c r="I93" i="55"/>
  <c r="I167" i="55" a="1"/>
  <c r="I167" i="55"/>
  <c r="I75" i="55" a="1"/>
  <c r="I75" i="55"/>
  <c r="I156" i="55" a="1"/>
  <c r="I156" i="55"/>
  <c r="I80" i="55" a="1"/>
  <c r="I80" i="55"/>
  <c r="G150" i="55" a="1"/>
  <c r="G150" i="55"/>
  <c r="G69" i="55" a="1"/>
  <c r="G69" i="55"/>
  <c r="G38" i="55" a="1"/>
  <c r="G38" i="55"/>
  <c r="G41" i="55" a="1"/>
  <c r="G41" i="55"/>
  <c r="G165" i="55" a="1"/>
  <c r="G165" i="55"/>
  <c r="I151" i="55" a="1"/>
  <c r="I151" i="55"/>
  <c r="I94" i="55" a="1"/>
  <c r="I94" i="55"/>
  <c r="I98" i="55" a="1"/>
  <c r="I98" i="55"/>
  <c r="I146" i="55" a="1"/>
  <c r="I146" i="55"/>
  <c r="I78" i="55" a="1"/>
  <c r="I78" i="55"/>
  <c r="I90" i="55" a="1"/>
  <c r="I90" i="55"/>
  <c r="G62" i="55" a="1"/>
  <c r="G62" i="55"/>
  <c r="G82" i="55" a="1"/>
  <c r="G82" i="55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/>
  <c r="G130" i="55" a="1"/>
  <c r="G130" i="55"/>
  <c r="G110" i="55" a="1"/>
  <c r="G110" i="55"/>
  <c r="K110" i="55"/>
  <c r="G133" i="55" a="1"/>
  <c r="G133" i="55"/>
  <c r="G83" i="55" a="1"/>
  <c r="G83" i="55"/>
  <c r="K83" i="55"/>
  <c r="G89" i="55" a="1"/>
  <c r="G89" i="55"/>
  <c r="I60" i="55" a="1"/>
  <c r="I60" i="55"/>
  <c r="I103" i="55" a="1"/>
  <c r="I103" i="55"/>
  <c r="G97" i="55" a="1"/>
  <c r="G97" i="55"/>
  <c r="K97" i="55"/>
  <c r="G131" i="55" a="1"/>
  <c r="G131" i="55"/>
  <c r="G170" i="55" a="1"/>
  <c r="G170" i="55"/>
  <c r="K170" i="55"/>
  <c r="I38" i="55" a="1"/>
  <c r="I38" i="55"/>
  <c r="I129" i="55" a="1"/>
  <c r="I129" i="55"/>
  <c r="I44" i="55" a="1"/>
  <c r="I44" i="55"/>
  <c r="I57" i="55" a="1"/>
  <c r="I57" i="55"/>
  <c r="I85" i="55" a="1"/>
  <c r="I85" i="55"/>
  <c r="I115" i="55" a="1"/>
  <c r="I115" i="55"/>
  <c r="I42" i="55" a="1"/>
  <c r="I42" i="55"/>
  <c r="G64" i="55" a="1"/>
  <c r="G64" i="55"/>
  <c r="I166" i="55" a="1"/>
  <c r="I166" i="55"/>
  <c r="G61" i="55" a="1"/>
  <c r="G61" i="55"/>
  <c r="G134" i="55" a="1"/>
  <c r="G134" i="55"/>
  <c r="I79" i="55" a="1"/>
  <c r="I79" i="55"/>
  <c r="I58" i="55" a="1"/>
  <c r="I58" i="55"/>
  <c r="G123" i="55" a="1"/>
  <c r="G123" i="55"/>
  <c r="G25" i="55" a="1"/>
  <c r="G25" i="55"/>
  <c r="K25" i="55"/>
  <c r="G126" i="55" a="1"/>
  <c r="G126" i="55"/>
  <c r="K126" i="55"/>
  <c r="G43" i="55" a="1"/>
  <c r="G43" i="55"/>
  <c r="K43" i="55"/>
  <c r="G168" i="55" a="1"/>
  <c r="G168" i="55"/>
  <c r="K168" i="55"/>
  <c r="G163" i="55" a="1"/>
  <c r="G163" i="55"/>
  <c r="K163" i="55"/>
  <c r="G88" i="55" a="1"/>
  <c r="G88" i="55"/>
  <c r="I27" i="55" a="1"/>
  <c r="I27" i="55"/>
  <c r="G121" i="55" a="1"/>
  <c r="G121" i="55"/>
  <c r="K121" i="55"/>
  <c r="I36" i="55" a="1"/>
  <c r="I36" i="55"/>
  <c r="G117" i="55" a="1"/>
  <c r="G117" i="55"/>
  <c r="G108" i="55" a="1"/>
  <c r="G108" i="55"/>
  <c r="G105" i="55" a="1"/>
  <c r="G105" i="55"/>
  <c r="G31" i="55" a="1"/>
  <c r="G31" i="55"/>
  <c r="G68" i="55" a="1"/>
  <c r="G68" i="55"/>
  <c r="G35" i="55" a="1"/>
  <c r="G35" i="55"/>
  <c r="G74" i="55" a="1"/>
  <c r="G74" i="55"/>
  <c r="G86" i="55" a="1"/>
  <c r="G86" i="55"/>
  <c r="G162" i="55" a="1"/>
  <c r="G162" i="55"/>
  <c r="I29" i="55" a="1"/>
  <c r="I29" i="55"/>
  <c r="G171" i="55" a="1"/>
  <c r="G171" i="55"/>
  <c r="I111" i="55" a="1"/>
  <c r="I111" i="55"/>
  <c r="I138" i="55" a="1"/>
  <c r="I138" i="55"/>
  <c r="I157" i="55" a="1"/>
  <c r="I157" i="55"/>
  <c r="I37" i="55" a="1"/>
  <c r="I37" i="55"/>
  <c r="I136" i="55" a="1"/>
  <c r="I136" i="55"/>
  <c r="I109" i="55" a="1"/>
  <c r="I109" i="55"/>
  <c r="I147" i="55" a="1"/>
  <c r="I147" i="55"/>
  <c r="I32" i="55" a="1"/>
  <c r="I32" i="55"/>
  <c r="I70" i="55" a="1"/>
  <c r="I70" i="55"/>
  <c r="I65" i="55" a="1"/>
  <c r="I65" i="55"/>
  <c r="I158" i="55" a="1"/>
  <c r="I158" i="55"/>
  <c r="I77" i="55" a="1"/>
  <c r="I77" i="55"/>
  <c r="I56" i="55" a="1"/>
  <c r="I56" i="55"/>
  <c r="I53" i="55" a="1"/>
  <c r="I53" i="55"/>
  <c r="I33" i="55" a="1"/>
  <c r="I33" i="55"/>
  <c r="I51" i="55" a="1"/>
  <c r="I51" i="55"/>
  <c r="I102" i="55" a="1"/>
  <c r="I102" i="55"/>
  <c r="I119" i="55" a="1"/>
  <c r="I119" i="55"/>
  <c r="I55" i="55" a="1"/>
  <c r="I55" i="55"/>
  <c r="G52" i="55" a="1"/>
  <c r="G52" i="55"/>
  <c r="G118" i="55" a="1"/>
  <c r="G118" i="55"/>
  <c r="G115" i="55" a="1"/>
  <c r="G115" i="55"/>
  <c r="G58" i="55" a="1"/>
  <c r="G58" i="55"/>
  <c r="I61" i="55" a="1"/>
  <c r="I61" i="55"/>
  <c r="G106" i="55" a="1"/>
  <c r="G106" i="55"/>
  <c r="I67" i="55" a="1"/>
  <c r="I67" i="55"/>
  <c r="I173" i="55" a="1"/>
  <c r="I173" i="55"/>
  <c r="G42" i="55" a="1"/>
  <c r="G42" i="55"/>
  <c r="G138" i="55" a="1"/>
  <c r="G138" i="55"/>
  <c r="G157" i="55" a="1"/>
  <c r="G157" i="55"/>
  <c r="G37" i="55" a="1"/>
  <c r="G37" i="55"/>
  <c r="G136" i="55" a="1"/>
  <c r="G136" i="55"/>
  <c r="G109" i="55" a="1"/>
  <c r="G109" i="55"/>
  <c r="G147" i="55" a="1"/>
  <c r="G147" i="55"/>
  <c r="G32" i="55" a="1"/>
  <c r="G32" i="55"/>
  <c r="G70" i="55" a="1"/>
  <c r="G70" i="55"/>
  <c r="G65" i="55" a="1"/>
  <c r="G65" i="55"/>
  <c r="G158" i="55" a="1"/>
  <c r="G158" i="55"/>
  <c r="G77" i="55" a="1"/>
  <c r="G77" i="55"/>
  <c r="G140" i="55" a="1"/>
  <c r="G140" i="55"/>
  <c r="G156" i="55" a="1"/>
  <c r="G156" i="55"/>
  <c r="I171" i="55" a="1"/>
  <c r="I171" i="55"/>
  <c r="G40" i="55" a="1"/>
  <c r="G40" i="55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G54" i="55" a="1"/>
  <c r="G54" i="55"/>
  <c r="G129" i="55" a="1"/>
  <c r="G129" i="55"/>
  <c r="G85" i="55" a="1"/>
  <c r="G85" i="55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G71" i="55" a="1"/>
  <c r="G71" i="55"/>
  <c r="G51" i="55" a="1"/>
  <c r="G51" i="55"/>
  <c r="G102" i="55" a="1"/>
  <c r="G102" i="55"/>
  <c r="G47" i="55" a="1"/>
  <c r="G47" i="55"/>
  <c r="G80" i="55" a="1"/>
  <c r="G80" i="55"/>
  <c r="G172" i="55" a="1"/>
  <c r="G172" i="55"/>
  <c r="K172" i="55"/>
  <c r="I139" i="55" a="1"/>
  <c r="I139" i="55"/>
  <c r="I95" i="55" a="1"/>
  <c r="I95" i="55"/>
  <c r="I117" i="55" a="1"/>
  <c r="I117" i="55"/>
  <c r="I124" i="55" a="1"/>
  <c r="I124" i="55"/>
  <c r="I100" i="55" a="1"/>
  <c r="I100" i="55"/>
  <c r="I107" i="55" a="1"/>
  <c r="I107" i="55"/>
  <c r="I87" i="55" a="1"/>
  <c r="I87" i="55"/>
  <c r="I34" i="55" a="1"/>
  <c r="I34" i="55"/>
  <c r="I154" i="55" a="1"/>
  <c r="I154" i="55"/>
  <c r="I140" i="55" a="1"/>
  <c r="I140" i="55"/>
  <c r="G59" i="55" a="1"/>
  <c r="G59" i="55"/>
  <c r="K59" i="55"/>
  <c r="G44" i="55" a="1"/>
  <c r="G44" i="55"/>
  <c r="G57" i="55" a="1"/>
  <c r="G57" i="55"/>
  <c r="K57" i="55"/>
  <c r="I92" i="55" a="1"/>
  <c r="I92" i="55"/>
  <c r="G135" i="55" a="1"/>
  <c r="G135" i="55"/>
  <c r="I150" i="55" a="1"/>
  <c r="I150" i="55"/>
  <c r="I123" i="55" a="1"/>
  <c r="I123" i="55"/>
  <c r="G119" i="55" a="1"/>
  <c r="G119" i="55"/>
  <c r="G173" i="55" a="1"/>
  <c r="G173" i="55"/>
  <c r="G122" i="55" a="1"/>
  <c r="G122" i="55"/>
  <c r="G124" i="55" a="1"/>
  <c r="G124" i="55"/>
  <c r="G100" i="55" a="1"/>
  <c r="G100" i="55"/>
  <c r="G107" i="55" a="1"/>
  <c r="G107" i="55"/>
  <c r="G87" i="55" a="1"/>
  <c r="G87" i="55"/>
  <c r="G34" i="55" a="1"/>
  <c r="G34" i="55"/>
  <c r="G72" i="55" a="1"/>
  <c r="G72" i="55"/>
  <c r="G56" i="55" a="1"/>
  <c r="G56" i="55"/>
  <c r="G67" i="55" a="1"/>
  <c r="G67" i="55"/>
  <c r="G36" i="55" a="1"/>
  <c r="G36" i="55"/>
  <c r="I64" i="55" a="1"/>
  <c r="I64" i="55"/>
  <c r="I149" i="55" a="1"/>
  <c r="I149" i="55"/>
  <c r="I108" i="55" a="1"/>
  <c r="I108" i="55"/>
  <c r="I105" i="55" a="1"/>
  <c r="I105" i="55"/>
  <c r="I31" i="55" a="1"/>
  <c r="I31" i="55"/>
  <c r="I68" i="55" a="1"/>
  <c r="I68" i="55"/>
  <c r="I35" i="55" a="1"/>
  <c r="I35" i="55"/>
  <c r="I74" i="55" a="1"/>
  <c r="I74" i="55"/>
  <c r="I86" i="55" a="1"/>
  <c r="I86" i="55"/>
  <c r="I162" i="55" a="1"/>
  <c r="I162" i="55"/>
  <c r="I141" i="55" a="1"/>
  <c r="I141" i="55"/>
  <c r="I120" i="55" a="1"/>
  <c r="I120" i="55"/>
  <c r="G120" i="55" a="1"/>
  <c r="G120" i="55"/>
  <c r="G55" i="55" a="1"/>
  <c r="G55" i="55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5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175" i="55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K12" i="55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18" i="12"/>
  <c r="F45" i="70"/>
  <c r="H2" i="55"/>
  <c r="B6" i="57"/>
  <c r="L2" i="64"/>
  <c r="J3" i="54"/>
  <c r="L3" i="39"/>
  <c r="L2" i="39"/>
  <c r="E23" i="55"/>
  <c r="I16" i="54"/>
  <c r="N10" i="34"/>
  <c r="N11" i="34"/>
  <c r="A48" i="7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I57" i="71"/>
  <c r="H57" i="71"/>
  <c r="I60" i="71"/>
  <c r="H60" i="71"/>
  <c r="I59" i="71"/>
  <c r="H59" i="71"/>
  <c r="H58" i="71"/>
  <c r="I58" i="71"/>
  <c r="A11" i="55"/>
  <c r="D5" i="61"/>
  <c r="R7" i="60"/>
  <c r="I12" i="61"/>
  <c r="F12" i="61"/>
  <c r="D12" i="61"/>
  <c r="E12" i="61"/>
  <c r="G12" i="61"/>
  <c r="H12" i="61"/>
  <c r="C12" i="61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/>
  <c r="C34" i="15"/>
  <c r="Q3" i="56"/>
  <c r="P3" i="56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G28" i="55" a="1"/>
  <c r="G28" i="55"/>
  <c r="I28" i="55" a="1"/>
  <c r="I28" i="55"/>
  <c r="G50" i="55" a="1"/>
  <c r="G50" i="55"/>
  <c r="I50" i="55" a="1"/>
  <c r="I50" i="55"/>
  <c r="A3" i="15"/>
  <c r="A2" i="15"/>
  <c r="N8" i="73"/>
  <c r="M8" i="73"/>
  <c r="A2" i="73"/>
  <c r="A1" i="73"/>
  <c r="K16" i="55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5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/>
  <c r="C43" i="70"/>
  <c r="G62" i="71"/>
  <c r="F62" i="71"/>
  <c r="A14" i="71"/>
  <c r="E67" i="71"/>
  <c r="A19" i="71"/>
  <c r="A20" i="71"/>
  <c r="A17" i="71"/>
  <c r="A18" i="71"/>
  <c r="A16" i="71"/>
  <c r="A15" i="71"/>
  <c r="A66" i="71"/>
  <c r="G2" i="71"/>
  <c r="D13" i="15"/>
  <c r="C13" i="15"/>
  <c r="C43" i="15"/>
  <c r="D43" i="15"/>
  <c r="C36" i="15"/>
  <c r="D36" i="15"/>
  <c r="D33" i="15"/>
  <c r="D34" i="15"/>
  <c r="C18" i="15"/>
  <c r="D18" i="15"/>
  <c r="D16" i="15"/>
  <c r="C16" i="15"/>
  <c r="D11" i="15"/>
  <c r="C11" i="15"/>
  <c r="A28" i="68"/>
  <c r="P13" i="64"/>
  <c r="A7" i="68"/>
  <c r="B20" i="68"/>
  <c r="A20" i="68"/>
  <c r="E20" i="68"/>
  <c r="A41" i="68"/>
  <c r="A42" i="68"/>
  <c r="F20" i="68"/>
  <c r="C20" i="68"/>
  <c r="A12" i="68"/>
  <c r="A8" i="68"/>
  <c r="A13" i="68"/>
  <c r="D20" i="68"/>
  <c r="E13" i="68"/>
  <c r="E11" i="68"/>
  <c r="E29" i="68"/>
  <c r="G20" i="68"/>
  <c r="A10" i="68"/>
  <c r="L14" i="64"/>
  <c r="L15" i="64"/>
  <c r="L16" i="64"/>
  <c r="L19" i="64"/>
  <c r="H20" i="68"/>
  <c r="F21" i="68"/>
  <c r="G21" i="68"/>
  <c r="H21" i="68"/>
  <c r="F22" i="68"/>
  <c r="G22" i="68"/>
  <c r="H22" i="68"/>
  <c r="F23" i="68"/>
  <c r="G23" i="68"/>
  <c r="H23" i="68"/>
  <c r="F24" i="68"/>
  <c r="I11" i="55" a="1"/>
  <c r="I11" i="55"/>
  <c r="G19" i="55" a="1"/>
  <c r="G19" i="55"/>
  <c r="I17" i="55" a="1"/>
  <c r="I17" i="55"/>
  <c r="G11" i="55" a="1"/>
  <c r="G11" i="55"/>
  <c r="G18" i="55" a="1"/>
  <c r="G18" i="55"/>
  <c r="G17" i="55" a="1"/>
  <c r="G17" i="55"/>
  <c r="I19" i="55" a="1"/>
  <c r="I19" i="55"/>
  <c r="I18" i="55" a="1"/>
  <c r="I18" i="55"/>
  <c r="A15" i="12"/>
  <c r="G24" i="68"/>
  <c r="H24" i="68"/>
  <c r="F25" i="68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G25" i="68"/>
  <c r="H25" i="68"/>
  <c r="F26" i="68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F2" i="43"/>
  <c r="A98" i="43"/>
  <c r="K14" i="34"/>
  <c r="K10" i="34"/>
  <c r="G26" i="68"/>
  <c r="H26" i="68"/>
  <c r="F27" i="68"/>
  <c r="G27" i="68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16" i="12"/>
  <c r="C16" i="12"/>
  <c r="G29" i="68"/>
  <c r="H27" i="68"/>
  <c r="A79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17" i="12"/>
  <c r="A41" i="73"/>
  <c r="F41" i="73"/>
  <c r="A42" i="73"/>
  <c r="I42" i="73"/>
  <c r="D43" i="73"/>
  <c r="E43" i="73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/>
  <c r="I44" i="73"/>
  <c r="D45" i="73"/>
  <c r="E45" i="73"/>
  <c r="I45" i="73"/>
  <c r="D46" i="73"/>
  <c r="E46" i="73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/>
  <c r="H47" i="73"/>
  <c r="C48" i="73"/>
  <c r="H48" i="73"/>
  <c r="C49" i="73"/>
  <c r="H49" i="73"/>
  <c r="C50" i="73"/>
  <c r="G50" i="73"/>
  <c r="D41" i="73"/>
  <c r="E41" i="73"/>
  <c r="I41" i="73"/>
  <c r="D42" i="73"/>
  <c r="E42" i="73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/>
  <c r="I48" i="73"/>
  <c r="D49" i="73"/>
  <c r="E49" i="73"/>
  <c r="I49" i="73"/>
  <c r="D50" i="73"/>
  <c r="E50" i="73"/>
  <c r="H50" i="73"/>
  <c r="C18" i="73"/>
  <c r="C26" i="73"/>
  <c r="B34" i="73"/>
  <c r="H18" i="73"/>
  <c r="H26" i="73"/>
  <c r="G34" i="73"/>
  <c r="C12" i="73"/>
  <c r="D20" i="73"/>
  <c r="E20" i="73"/>
  <c r="D28" i="73"/>
  <c r="E28" i="73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/>
  <c r="C29" i="73"/>
  <c r="C37" i="73"/>
  <c r="H22" i="73"/>
  <c r="G30" i="73"/>
  <c r="G38" i="73"/>
  <c r="I23" i="73"/>
  <c r="H31" i="73"/>
  <c r="H39" i="73"/>
  <c r="A16" i="73"/>
  <c r="A24" i="73"/>
  <c r="D32" i="73"/>
  <c r="E32" i="73"/>
  <c r="D40" i="73"/>
  <c r="E40" i="73"/>
  <c r="F17" i="73"/>
  <c r="F25" i="73"/>
  <c r="I33" i="73"/>
  <c r="A19" i="73"/>
  <c r="A27" i="73"/>
  <c r="D35" i="73"/>
  <c r="E35" i="73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/>
  <c r="I18" i="73"/>
  <c r="I26" i="73"/>
  <c r="H34" i="73"/>
  <c r="D12" i="73"/>
  <c r="E12" i="73"/>
  <c r="A20" i="73"/>
  <c r="A28" i="73"/>
  <c r="D36" i="73"/>
  <c r="E36" i="73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/>
  <c r="D26" i="73"/>
  <c r="E26" i="73"/>
  <c r="C34" i="73"/>
  <c r="I19" i="73"/>
  <c r="I27" i="73"/>
  <c r="H35" i="73"/>
  <c r="D13" i="73"/>
  <c r="E13" i="73"/>
  <c r="A21" i="73"/>
  <c r="D29" i="73"/>
  <c r="E29" i="73"/>
  <c r="D37" i="73"/>
  <c r="E37" i="73"/>
  <c r="B11" i="73"/>
  <c r="C11" i="73"/>
  <c r="D14" i="73"/>
  <c r="E14" i="73"/>
  <c r="A22" i="73"/>
  <c r="D30" i="73"/>
  <c r="E30" i="73"/>
  <c r="D38" i="73"/>
  <c r="E38" i="73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/>
  <c r="C30" i="73"/>
  <c r="C38" i="73"/>
  <c r="D15" i="73"/>
  <c r="E15" i="73"/>
  <c r="D23" i="73"/>
  <c r="E23" i="73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/>
  <c r="D16" i="73"/>
  <c r="E16" i="73"/>
  <c r="D24" i="73"/>
  <c r="E24" i="73"/>
  <c r="C32" i="73"/>
  <c r="C40" i="73"/>
  <c r="F16" i="73"/>
  <c r="F24" i="73"/>
  <c r="I32" i="73"/>
  <c r="H40" i="73"/>
  <c r="A18" i="73"/>
  <c r="A26" i="73"/>
  <c r="D34" i="73"/>
  <c r="E34" i="73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/>
  <c r="D25" i="73"/>
  <c r="E25" i="73"/>
  <c r="C33" i="73"/>
  <c r="I17" i="73"/>
  <c r="I25" i="73"/>
  <c r="H33" i="73"/>
  <c r="D19" i="73"/>
  <c r="E19" i="73"/>
  <c r="D27" i="73"/>
  <c r="E27" i="73"/>
  <c r="C35" i="73"/>
  <c r="I12" i="73"/>
  <c r="F20" i="73"/>
  <c r="I28" i="73"/>
  <c r="I36" i="73"/>
  <c r="F21" i="73"/>
  <c r="I29" i="73"/>
  <c r="I37" i="73"/>
  <c r="A14" i="73"/>
  <c r="H55" i="73"/>
  <c r="B22" i="73"/>
  <c r="A30" i="73"/>
  <c r="A38" i="73"/>
  <c r="G15" i="73"/>
  <c r="G23" i="73"/>
  <c r="F31" i="73"/>
  <c r="F39" i="73"/>
  <c r="C17" i="73"/>
  <c r="C25" i="73"/>
  <c r="B33" i="73"/>
  <c r="G11" i="73"/>
  <c r="F2" i="73"/>
  <c r="A54" i="73"/>
  <c r="D6" i="73"/>
  <c r="U8" i="43"/>
  <c r="C21" i="15"/>
  <c r="D21" i="15"/>
  <c r="C38" i="15"/>
  <c r="C55" i="15"/>
  <c r="D38" i="15"/>
  <c r="D40" i="15"/>
  <c r="D55" i="15"/>
  <c r="B11" i="61"/>
  <c r="A31" i="58"/>
  <c r="I13" i="58"/>
  <c r="C8" i="58"/>
  <c r="A31" i="57"/>
  <c r="L13" i="57"/>
  <c r="K13" i="57"/>
  <c r="I7" i="57"/>
  <c r="D7" i="56"/>
  <c r="C7" i="56"/>
  <c r="D5" i="56"/>
  <c r="I20" i="55" a="1"/>
  <c r="I20" i="55"/>
  <c r="I21" i="55" a="1"/>
  <c r="I21" i="55"/>
  <c r="G21" i="55" a="1"/>
  <c r="G21" i="55"/>
  <c r="G23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/>
  <c r="L14" i="54"/>
  <c r="L16" i="54"/>
  <c r="L17" i="54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/>
  <c r="E29" i="58"/>
  <c r="I29" i="58"/>
  <c r="E30" i="58"/>
  <c r="I30" i="58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/>
  <c r="G2" i="56"/>
  <c r="F15" i="56"/>
  <c r="K12" i="34"/>
  <c r="K11" i="34"/>
  <c r="K13" i="34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/>
  <c r="D28" i="58"/>
  <c r="G27" i="58"/>
  <c r="B27" i="58"/>
  <c r="F27" i="58"/>
  <c r="D26" i="58"/>
  <c r="G25" i="58"/>
  <c r="B25" i="58"/>
  <c r="F25" i="58"/>
  <c r="D24" i="58"/>
  <c r="G23" i="58"/>
  <c r="B23" i="58"/>
  <c r="F23" i="58"/>
  <c r="D22" i="58"/>
  <c r="G21" i="58"/>
  <c r="B21" i="58"/>
  <c r="F21" i="58"/>
  <c r="D20" i="58"/>
  <c r="G19" i="58"/>
  <c r="B19" i="58"/>
  <c r="F19" i="58"/>
  <c r="D18" i="58"/>
  <c r="G17" i="58"/>
  <c r="B17" i="58"/>
  <c r="F17" i="58"/>
  <c r="D16" i="58"/>
  <c r="G15" i="58"/>
  <c r="B15" i="58"/>
  <c r="F15" i="58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/>
  <c r="D29" i="58"/>
  <c r="G28" i="58"/>
  <c r="B28" i="58"/>
  <c r="A28" i="58"/>
  <c r="D27" i="58"/>
  <c r="G26" i="58"/>
  <c r="B26" i="58"/>
  <c r="F26" i="58"/>
  <c r="D25" i="58"/>
  <c r="G24" i="58"/>
  <c r="B24" i="58"/>
  <c r="D23" i="58"/>
  <c r="G22" i="58"/>
  <c r="B22" i="58"/>
  <c r="F22" i="58"/>
  <c r="D21" i="58"/>
  <c r="G20" i="58"/>
  <c r="B20" i="58"/>
  <c r="D19" i="58"/>
  <c r="G18" i="58"/>
  <c r="B18" i="58"/>
  <c r="F18" i="58"/>
  <c r="D17" i="58"/>
  <c r="G16" i="58"/>
  <c r="B16" i="58"/>
  <c r="F16" i="58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/>
  <c r="C13" i="61"/>
  <c r="C14" i="61"/>
  <c r="H26" i="57"/>
  <c r="J3" i="57"/>
  <c r="J35" i="57"/>
  <c r="K1400" i="34"/>
  <c r="F41" i="70" a="1"/>
  <c r="F41" i="70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/>
  <c r="A30" i="56"/>
  <c r="B17" i="56"/>
  <c r="D17" i="56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/>
  <c r="A9" i="56"/>
  <c r="D6" i="56"/>
  <c r="F31" i="56"/>
  <c r="F20" i="56"/>
  <c r="B18" i="56"/>
  <c r="D18" i="56"/>
  <c r="F18" i="56"/>
  <c r="B20" i="56"/>
  <c r="D20" i="56"/>
  <c r="G8" i="56"/>
  <c r="I14" i="71"/>
  <c r="H14" i="71"/>
  <c r="H14" i="14"/>
  <c r="F20" i="47"/>
  <c r="B12" i="61"/>
  <c r="D13" i="61"/>
  <c r="D14" i="61"/>
  <c r="G13" i="61"/>
  <c r="G14" i="61"/>
  <c r="E13" i="61"/>
  <c r="E14" i="6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F24" i="58"/>
  <c r="I14" i="14"/>
  <c r="G32" i="58"/>
  <c r="A29" i="58"/>
  <c r="A18" i="47"/>
  <c r="C16" i="47"/>
  <c r="A15" i="47"/>
  <c r="E67" i="47"/>
  <c r="G20" i="47"/>
  <c r="H32" i="58"/>
  <c r="I14" i="58"/>
  <c r="I15" i="58"/>
  <c r="I16" i="58"/>
  <c r="I17" i="58"/>
  <c r="I18" i="58"/>
  <c r="I19" i="58"/>
  <c r="I20" i="58"/>
  <c r="I21" i="58"/>
  <c r="I22" i="58"/>
  <c r="I23" i="58"/>
  <c r="I24" i="58"/>
  <c r="I25" i="58"/>
  <c r="I26" i="58"/>
  <c r="I27" i="58"/>
  <c r="F20" i="58"/>
  <c r="F28" i="58"/>
  <c r="F14" i="58"/>
  <c r="A30" i="58"/>
  <c r="E5" i="58"/>
  <c r="J22" i="57"/>
  <c r="H15" i="57"/>
  <c r="J14" i="57"/>
  <c r="J19" i="57"/>
  <c r="J18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G32" i="57"/>
  <c r="J24" i="57"/>
  <c r="I32" i="57"/>
  <c r="H14" i="57"/>
  <c r="H22" i="57"/>
  <c r="J15" i="57"/>
  <c r="H20" i="57"/>
  <c r="K14" i="57"/>
  <c r="K15" i="57"/>
  <c r="K16" i="57"/>
  <c r="K17" i="57"/>
  <c r="K18" i="57"/>
  <c r="K19" i="57"/>
  <c r="K20" i="57"/>
  <c r="K21" i="57"/>
  <c r="K22" i="57"/>
  <c r="K23" i="57"/>
  <c r="K24" i="57"/>
  <c r="K25" i="57"/>
  <c r="K26" i="57"/>
  <c r="K27" i="57"/>
  <c r="K28" i="57"/>
  <c r="K29" i="57"/>
  <c r="K30" i="57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J175" i="55" a="1"/>
  <c r="J175" i="55"/>
  <c r="J180" i="55" a="1"/>
  <c r="J180" i="55"/>
  <c r="H175" i="55" a="1"/>
  <c r="H175" i="55"/>
  <c r="H177" i="55" a="1"/>
  <c r="H177" i="55"/>
  <c r="H178" i="55" a="1"/>
  <c r="H178" i="55"/>
  <c r="H176" i="55" a="1"/>
  <c r="H176" i="55"/>
  <c r="H180" i="55" a="1"/>
  <c r="H180" i="55"/>
  <c r="H179" i="55" a="1"/>
  <c r="H179" i="55"/>
  <c r="L179" i="55"/>
  <c r="H174" i="55" a="1"/>
  <c r="H174" i="55"/>
  <c r="J176" i="55" a="1"/>
  <c r="J176" i="55"/>
  <c r="J177" i="55" a="1"/>
  <c r="J177" i="55"/>
  <c r="J178" i="55" a="1"/>
  <c r="J178" i="55"/>
  <c r="E14" i="12" a="1"/>
  <c r="E14" i="12"/>
  <c r="F14" i="12" a="1"/>
  <c r="F14" i="12"/>
  <c r="E41" i="70" a="1"/>
  <c r="E41" i="70"/>
  <c r="G41" i="70"/>
  <c r="L144" i="55"/>
  <c r="J51" i="55" a="1"/>
  <c r="J51" i="55"/>
  <c r="J72" i="55" a="1"/>
  <c r="J72" i="55"/>
  <c r="H56" i="55" a="1"/>
  <c r="H56" i="55"/>
  <c r="H65" i="55" a="1"/>
  <c r="H65" i="55"/>
  <c r="H147" i="55" a="1"/>
  <c r="H147" i="55"/>
  <c r="H157" i="55" a="1"/>
  <c r="H157" i="55"/>
  <c r="J172" i="55" a="1"/>
  <c r="J172" i="55"/>
  <c r="J75" i="55" a="1"/>
  <c r="J75" i="55"/>
  <c r="H79" i="55" a="1"/>
  <c r="H79" i="55"/>
  <c r="H97" i="55" a="1"/>
  <c r="H97" i="55"/>
  <c r="H75" i="55" a="1"/>
  <c r="H75" i="55"/>
  <c r="J81" i="55" a="1"/>
  <c r="J81" i="55"/>
  <c r="H113" i="55" a="1"/>
  <c r="H113" i="55"/>
  <c r="H66" i="55" a="1"/>
  <c r="H66" i="55"/>
  <c r="J103" i="55" a="1"/>
  <c r="J103" i="55"/>
  <c r="H133" i="55" a="1"/>
  <c r="H133" i="55"/>
  <c r="H49" i="55" a="1"/>
  <c r="H49" i="55"/>
  <c r="H151" i="55" a="1"/>
  <c r="H151" i="55"/>
  <c r="J128" i="55" a="1"/>
  <c r="J128" i="55"/>
  <c r="J152" i="55" a="1"/>
  <c r="J152" i="55"/>
  <c r="J33" i="55" a="1"/>
  <c r="J33" i="55"/>
  <c r="H120" i="55" a="1"/>
  <c r="H120" i="55"/>
  <c r="H86" i="55" a="1"/>
  <c r="H86" i="55"/>
  <c r="H31" i="55" a="1"/>
  <c r="H31" i="55"/>
  <c r="H64" i="55" a="1"/>
  <c r="H64" i="55"/>
  <c r="J163" i="55" a="1"/>
  <c r="J163" i="55"/>
  <c r="J25" i="55" a="1"/>
  <c r="J25" i="55"/>
  <c r="J61" i="55" a="1"/>
  <c r="J61" i="55"/>
  <c r="H163" i="55" a="1"/>
  <c r="H163" i="55"/>
  <c r="H25" i="55" a="1"/>
  <c r="H25" i="55"/>
  <c r="H173" i="55" a="1"/>
  <c r="H173" i="55"/>
  <c r="H63" i="55" a="1"/>
  <c r="H63" i="55"/>
  <c r="J112" i="55" a="1"/>
  <c r="J112" i="55"/>
  <c r="H145" i="55" a="1"/>
  <c r="H145" i="55"/>
  <c r="J131" i="55" a="1"/>
  <c r="J131" i="55"/>
  <c r="J89" i="55" a="1"/>
  <c r="J89" i="55"/>
  <c r="J56" i="55" a="1"/>
  <c r="J56" i="55"/>
  <c r="J77" i="55" a="1"/>
  <c r="J77" i="55"/>
  <c r="J65" i="55" a="1"/>
  <c r="J65" i="55"/>
  <c r="H54" i="55" a="1"/>
  <c r="H54" i="55"/>
  <c r="H34" i="55" a="1"/>
  <c r="H34" i="55"/>
  <c r="H87" i="55" a="1"/>
  <c r="H87" i="55"/>
  <c r="H124" i="55" a="1"/>
  <c r="H124" i="55"/>
  <c r="J156" i="55" a="1"/>
  <c r="J156" i="55"/>
  <c r="J85" i="55" a="1"/>
  <c r="J85" i="55"/>
  <c r="J38" i="55" a="1"/>
  <c r="J38" i="55"/>
  <c r="J88" i="55" a="1"/>
  <c r="J88" i="55"/>
  <c r="H85" i="55" a="1"/>
  <c r="H85" i="55"/>
  <c r="J161" i="55" a="1"/>
  <c r="J161" i="55"/>
  <c r="H27" i="55" a="1"/>
  <c r="H27" i="55"/>
  <c r="J151" i="55" a="1"/>
  <c r="J151" i="55"/>
  <c r="H78" i="55" a="1"/>
  <c r="H78" i="55"/>
  <c r="J132" i="55" a="1"/>
  <c r="J132" i="55"/>
  <c r="J91" i="55" a="1"/>
  <c r="J91" i="55"/>
  <c r="J71" i="55" a="1"/>
  <c r="J71" i="55"/>
  <c r="J122" i="55" a="1"/>
  <c r="J122" i="55"/>
  <c r="J54" i="55" a="1"/>
  <c r="J54" i="55"/>
  <c r="J32" i="55" a="1"/>
  <c r="J32" i="55"/>
  <c r="J138" i="55" a="1"/>
  <c r="J138" i="55"/>
  <c r="J55" i="55" a="1"/>
  <c r="J55" i="55"/>
  <c r="J74" i="55" a="1"/>
  <c r="J74" i="55"/>
  <c r="J105" i="55" a="1"/>
  <c r="J105" i="55"/>
  <c r="H102" i="55" a="1"/>
  <c r="H102" i="55"/>
  <c r="H71" i="55" a="1"/>
  <c r="H71" i="55"/>
  <c r="H142" i="55" a="1"/>
  <c r="H142" i="55"/>
  <c r="H139" i="55" a="1"/>
  <c r="H139" i="55"/>
  <c r="J165" i="55" a="1"/>
  <c r="J165" i="55"/>
  <c r="H121" i="55" a="1"/>
  <c r="H121" i="55"/>
  <c r="H165" i="55" a="1"/>
  <c r="H165" i="55"/>
  <c r="H171" i="55" a="1"/>
  <c r="H171" i="55"/>
  <c r="H134" i="55" a="1"/>
  <c r="H134" i="55"/>
  <c r="J59" i="55" a="1"/>
  <c r="J59" i="55"/>
  <c r="J62" i="55" a="1"/>
  <c r="J62" i="55"/>
  <c r="H96" i="55" a="1"/>
  <c r="H96" i="55"/>
  <c r="H155" i="55" a="1"/>
  <c r="H155" i="55"/>
  <c r="J113" i="55" a="1"/>
  <c r="J113" i="55"/>
  <c r="J146" i="55" a="1"/>
  <c r="J146" i="55"/>
  <c r="J34" i="55" a="1"/>
  <c r="J34" i="55"/>
  <c r="J87" i="55" a="1"/>
  <c r="J87" i="55"/>
  <c r="J124" i="55" a="1"/>
  <c r="J124" i="55"/>
  <c r="H53" i="55" a="1"/>
  <c r="H53" i="55"/>
  <c r="H70" i="55" a="1"/>
  <c r="H70" i="55"/>
  <c r="H109" i="55" a="1"/>
  <c r="H109" i="55"/>
  <c r="H138" i="55" a="1"/>
  <c r="H138" i="55"/>
  <c r="J80" i="55" a="1"/>
  <c r="J80" i="55"/>
  <c r="J167" i="55" a="1"/>
  <c r="J167" i="55"/>
  <c r="J123" i="55" a="1"/>
  <c r="J123" i="55"/>
  <c r="H135" i="55" a="1"/>
  <c r="H135" i="55"/>
  <c r="H167" i="55" a="1"/>
  <c r="H167" i="55"/>
  <c r="J95" i="55" a="1"/>
  <c r="J95" i="55"/>
  <c r="H88" i="55" a="1"/>
  <c r="H88" i="55"/>
  <c r="J60" i="55" a="1"/>
  <c r="J60" i="55"/>
  <c r="H110" i="55" a="1"/>
  <c r="H110" i="55"/>
  <c r="H143" i="55" a="1"/>
  <c r="H143" i="55"/>
  <c r="J26" i="55" a="1"/>
  <c r="J26" i="55"/>
  <c r="J84" i="55" a="1"/>
  <c r="J84" i="55"/>
  <c r="J127" i="55" a="1"/>
  <c r="J127" i="55"/>
  <c r="J137" i="55" a="1"/>
  <c r="J137" i="55"/>
  <c r="J39" i="55" a="1"/>
  <c r="J39" i="55"/>
  <c r="H141" i="55" a="1"/>
  <c r="H141" i="55"/>
  <c r="H74" i="55" a="1"/>
  <c r="H74" i="55"/>
  <c r="H105" i="55" a="1"/>
  <c r="H105" i="55"/>
  <c r="J168" i="55" a="1"/>
  <c r="J168" i="55"/>
  <c r="J121" i="55" a="1"/>
  <c r="J121" i="55"/>
  <c r="J134" i="55" a="1"/>
  <c r="J134" i="55"/>
  <c r="J98" i="55" a="1"/>
  <c r="J98" i="55"/>
  <c r="H168" i="55" a="1"/>
  <c r="H168" i="55"/>
  <c r="J36" i="55" a="1"/>
  <c r="J36" i="55"/>
  <c r="J69" i="55" a="1"/>
  <c r="J69" i="55"/>
  <c r="J99" i="55" a="1"/>
  <c r="J99" i="55"/>
  <c r="J125" i="55" a="1"/>
  <c r="J125" i="55"/>
  <c r="H73" i="55" a="1"/>
  <c r="H73" i="55"/>
  <c r="H159" i="55" a="1"/>
  <c r="H159" i="55"/>
  <c r="J97" i="55" a="1"/>
  <c r="J97" i="55"/>
  <c r="J83" i="55" a="1"/>
  <c r="J83" i="55"/>
  <c r="J130" i="55" a="1"/>
  <c r="J130" i="55"/>
  <c r="J120" i="55" a="1"/>
  <c r="J120" i="55"/>
  <c r="J64" i="55" a="1"/>
  <c r="J64" i="55"/>
  <c r="H107" i="55" a="1"/>
  <c r="H107" i="55"/>
  <c r="H117" i="55" a="1"/>
  <c r="H117" i="55"/>
  <c r="J57" i="55" a="1"/>
  <c r="J57" i="55"/>
  <c r="J44" i="55" a="1"/>
  <c r="J44" i="55"/>
  <c r="H116" i="55" a="1"/>
  <c r="H116" i="55"/>
  <c r="H57" i="55" a="1"/>
  <c r="H57" i="55"/>
  <c r="H44" i="55" a="1"/>
  <c r="H44" i="55"/>
  <c r="J135" i="55" a="1"/>
  <c r="J135" i="55"/>
  <c r="H146" i="55" a="1"/>
  <c r="H146" i="55"/>
  <c r="L146" i="55"/>
  <c r="J92" i="55" a="1"/>
  <c r="J92" i="55"/>
  <c r="H164" i="55" a="1"/>
  <c r="H164" i="55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J111" i="55" a="1"/>
  <c r="J111" i="55"/>
  <c r="J35" i="55" a="1"/>
  <c r="J35" i="55"/>
  <c r="J108" i="55" a="1"/>
  <c r="J108" i="55"/>
  <c r="H95" i="55" a="1"/>
  <c r="H95" i="55"/>
  <c r="L95" i="55"/>
  <c r="H55" i="55" a="1"/>
  <c r="H55" i="55"/>
  <c r="L55" i="55"/>
  <c r="H33" i="55" a="1"/>
  <c r="H33" i="55"/>
  <c r="L33" i="55"/>
  <c r="J118" i="55" a="1"/>
  <c r="J118" i="55"/>
  <c r="H118" i="55" a="1"/>
  <c r="H118" i="55"/>
  <c r="H38" i="55" a="1"/>
  <c r="H38" i="55"/>
  <c r="L38" i="55"/>
  <c r="H82" i="55" a="1"/>
  <c r="H82" i="55"/>
  <c r="J90" i="55" a="1"/>
  <c r="J90" i="55"/>
  <c r="J107" i="55" a="1"/>
  <c r="J107" i="55"/>
  <c r="J117" i="55" a="1"/>
  <c r="J117" i="55"/>
  <c r="H36" i="55" a="1"/>
  <c r="H36" i="55"/>
  <c r="L36" i="55"/>
  <c r="H77" i="55" a="1"/>
  <c r="H77" i="55"/>
  <c r="L77" i="55"/>
  <c r="H32" i="55" a="1"/>
  <c r="H32" i="55"/>
  <c r="L32" i="55"/>
  <c r="H136" i="55" a="1"/>
  <c r="H136" i="55"/>
  <c r="J93" i="55" a="1"/>
  <c r="J93" i="55"/>
  <c r="J45" i="55" a="1"/>
  <c r="J45" i="55"/>
  <c r="J27" i="55" a="1"/>
  <c r="J27" i="55"/>
  <c r="H93" i="55" a="1"/>
  <c r="H93" i="55"/>
  <c r="H45" i="55" a="1"/>
  <c r="H45" i="55"/>
  <c r="H89" i="55" a="1"/>
  <c r="H89" i="55"/>
  <c r="L89" i="55"/>
  <c r="J166" i="55" a="1"/>
  <c r="J166" i="55"/>
  <c r="H58" i="55" a="1"/>
  <c r="H58" i="55"/>
  <c r="H103" i="55" a="1"/>
  <c r="H103" i="55"/>
  <c r="L103" i="55"/>
  <c r="J104" i="55" a="1"/>
  <c r="J104" i="55"/>
  <c r="J101" i="55" a="1"/>
  <c r="J101" i="55"/>
  <c r="H35" i="55" a="1"/>
  <c r="H35" i="55"/>
  <c r="H108" i="55" a="1"/>
  <c r="H108" i="55"/>
  <c r="J43" i="55" a="1"/>
  <c r="J43" i="55"/>
  <c r="H98" i="55" a="1"/>
  <c r="H98" i="55"/>
  <c r="H169" i="55" a="1"/>
  <c r="H169" i="55"/>
  <c r="H43" i="55" a="1"/>
  <c r="H43" i="55"/>
  <c r="H59" i="55" a="1"/>
  <c r="H59" i="55"/>
  <c r="L59" i="55"/>
  <c r="J164" i="55" a="1"/>
  <c r="J164" i="55"/>
  <c r="H26" i="55" a="1"/>
  <c r="H26" i="55"/>
  <c r="L26" i="55"/>
  <c r="H153" i="55" a="1"/>
  <c r="H153" i="55"/>
  <c r="H30" i="55" a="1"/>
  <c r="H30" i="55"/>
  <c r="H112" i="55" a="1"/>
  <c r="H112" i="55"/>
  <c r="L112" i="55"/>
  <c r="J133" i="55" a="1"/>
  <c r="J133" i="55"/>
  <c r="J49" i="55" a="1"/>
  <c r="J49" i="55"/>
  <c r="H52" i="55" a="1"/>
  <c r="H52" i="55"/>
  <c r="J102" i="55" a="1"/>
  <c r="J102" i="55"/>
  <c r="J109" i="55" a="1"/>
  <c r="J109" i="55"/>
  <c r="J29" i="55" a="1"/>
  <c r="J29" i="55"/>
  <c r="H100" i="55" a="1"/>
  <c r="H100" i="55"/>
  <c r="J42" i="55" a="1"/>
  <c r="J42" i="55"/>
  <c r="J129" i="55" a="1"/>
  <c r="J129" i="55"/>
  <c r="H170" i="55" a="1"/>
  <c r="H170" i="55"/>
  <c r="H42" i="55" a="1"/>
  <c r="H42" i="55"/>
  <c r="H129" i="55" a="1"/>
  <c r="H129" i="55"/>
  <c r="J58" i="55" a="1"/>
  <c r="J58" i="55"/>
  <c r="H81" i="55" a="1"/>
  <c r="H81" i="55"/>
  <c r="L81" i="55"/>
  <c r="H90" i="55" a="1"/>
  <c r="H90" i="55"/>
  <c r="L90" i="55"/>
  <c r="J169" i="55" a="1"/>
  <c r="J169" i="55"/>
  <c r="J73" i="55" a="1"/>
  <c r="J73" i="55"/>
  <c r="J159" i="55" a="1"/>
  <c r="J159" i="55"/>
  <c r="J173" i="55" a="1"/>
  <c r="J173" i="55"/>
  <c r="H156" i="55" a="1"/>
  <c r="H156" i="55"/>
  <c r="L156" i="55"/>
  <c r="J158" i="55" a="1"/>
  <c r="J158" i="55"/>
  <c r="J136" i="55" a="1"/>
  <c r="J136" i="55"/>
  <c r="J53" i="55" a="1"/>
  <c r="J53" i="55"/>
  <c r="J162" i="55" a="1"/>
  <c r="J162" i="55"/>
  <c r="J68" i="55" a="1"/>
  <c r="J68" i="55"/>
  <c r="J149" i="55" a="1"/>
  <c r="J149" i="55"/>
  <c r="H80" i="55" a="1"/>
  <c r="H80" i="55"/>
  <c r="L80" i="55"/>
  <c r="H137" i="55" a="1"/>
  <c r="H137" i="55"/>
  <c r="L137" i="55"/>
  <c r="H51" i="55" a="1"/>
  <c r="H51" i="55"/>
  <c r="L51" i="55"/>
  <c r="H39" i="55" a="1"/>
  <c r="H39" i="55"/>
  <c r="L39" i="55"/>
  <c r="H122" i="55" a="1"/>
  <c r="H122" i="55"/>
  <c r="L122" i="55"/>
  <c r="J41" i="55" a="1"/>
  <c r="J41" i="55"/>
  <c r="H41" i="55" a="1"/>
  <c r="H41" i="55"/>
  <c r="H69" i="55" a="1"/>
  <c r="H69" i="55"/>
  <c r="L69" i="55"/>
  <c r="H128" i="55" a="1"/>
  <c r="H128" i="55"/>
  <c r="L128" i="55"/>
  <c r="H132" i="55" a="1"/>
  <c r="H132" i="55"/>
  <c r="L132" i="55"/>
  <c r="H127" i="55" a="1"/>
  <c r="H127" i="55"/>
  <c r="L127" i="55"/>
  <c r="J63" i="55" a="1"/>
  <c r="J63" i="55"/>
  <c r="L63" i="55"/>
  <c r="H62" i="55" a="1"/>
  <c r="H62" i="55"/>
  <c r="L62" i="55"/>
  <c r="J140" i="55" a="1"/>
  <c r="J140" i="55"/>
  <c r="J100" i="55" a="1"/>
  <c r="J100" i="55"/>
  <c r="J40" i="55" a="1"/>
  <c r="J40" i="55"/>
  <c r="H140" i="55" a="1"/>
  <c r="H140" i="55"/>
  <c r="H158" i="55" a="1"/>
  <c r="H158" i="55"/>
  <c r="H37" i="55" a="1"/>
  <c r="H37" i="55"/>
  <c r="H111" i="55" a="1"/>
  <c r="H111" i="55"/>
  <c r="J114" i="55" a="1"/>
  <c r="J114" i="55"/>
  <c r="J46" i="55" a="1"/>
  <c r="J46" i="55"/>
  <c r="H114" i="55" a="1"/>
  <c r="H114" i="55"/>
  <c r="H46" i="55" a="1"/>
  <c r="H46" i="55"/>
  <c r="J139" i="55" a="1"/>
  <c r="J139" i="55"/>
  <c r="H84" i="55" a="1"/>
  <c r="H84" i="55"/>
  <c r="L84" i="55"/>
  <c r="H152" i="55" a="1"/>
  <c r="H152" i="55"/>
  <c r="L152" i="55"/>
  <c r="H83" i="55" a="1"/>
  <c r="H83" i="55"/>
  <c r="L83" i="55"/>
  <c r="H130" i="55" a="1"/>
  <c r="H130" i="55"/>
  <c r="L130" i="55"/>
  <c r="H94" i="55" a="1"/>
  <c r="H94" i="55"/>
  <c r="H60" i="55" a="1"/>
  <c r="H60" i="55"/>
  <c r="L60" i="55"/>
  <c r="J96" i="55" a="1"/>
  <c r="J96" i="55"/>
  <c r="J155" i="55" a="1"/>
  <c r="J155" i="55"/>
  <c r="J171" i="55" a="1"/>
  <c r="J171" i="55"/>
  <c r="H162" i="55" a="1"/>
  <c r="H162" i="55"/>
  <c r="H68" i="55" a="1"/>
  <c r="H68" i="55"/>
  <c r="H149" i="55" a="1"/>
  <c r="H149" i="55"/>
  <c r="J47" i="55" a="1"/>
  <c r="J47" i="55"/>
  <c r="J126" i="55" a="1"/>
  <c r="J126" i="55"/>
  <c r="H47" i="55" a="1"/>
  <c r="H47" i="55"/>
  <c r="H126" i="55" a="1"/>
  <c r="H126" i="55"/>
  <c r="J67" i="55" a="1"/>
  <c r="J67" i="55"/>
  <c r="H150" i="55" a="1"/>
  <c r="H150" i="55"/>
  <c r="H166" i="55" a="1"/>
  <c r="H166" i="55"/>
  <c r="H91" i="55" a="1"/>
  <c r="H91" i="55"/>
  <c r="L91" i="55"/>
  <c r="J170" i="55" a="1"/>
  <c r="J170" i="55"/>
  <c r="H125" i="55" a="1"/>
  <c r="H125" i="55"/>
  <c r="L125" i="55"/>
  <c r="J110" i="55" a="1"/>
  <c r="J110" i="55"/>
  <c r="J143" i="55" a="1"/>
  <c r="J143" i="55"/>
  <c r="J119" i="55" a="1"/>
  <c r="J119" i="55"/>
  <c r="J142" i="55" a="1"/>
  <c r="J142" i="55"/>
  <c r="J37" i="55" a="1"/>
  <c r="J37" i="55"/>
  <c r="H154" i="55" a="1"/>
  <c r="H154" i="55"/>
  <c r="L154" i="55"/>
  <c r="H72" i="55" a="1"/>
  <c r="H72" i="55"/>
  <c r="L72" i="55"/>
  <c r="J115" i="55" a="1"/>
  <c r="J115" i="55"/>
  <c r="J66" i="55" a="1"/>
  <c r="J66" i="55"/>
  <c r="H115" i="55" a="1"/>
  <c r="H115" i="55"/>
  <c r="H172" i="55" a="1"/>
  <c r="H172" i="55"/>
  <c r="L172" i="55"/>
  <c r="H123" i="55" a="1"/>
  <c r="H123" i="55"/>
  <c r="L123" i="55"/>
  <c r="J94" i="55" a="1"/>
  <c r="J94" i="55"/>
  <c r="J76" i="55" a="1"/>
  <c r="J76" i="55"/>
  <c r="J116" i="55" a="1"/>
  <c r="J116" i="55"/>
  <c r="J153" i="55" a="1"/>
  <c r="J153" i="55"/>
  <c r="J30" i="55" a="1"/>
  <c r="J30" i="55"/>
  <c r="J48" i="55" a="1"/>
  <c r="J48" i="55"/>
  <c r="J70" i="55" a="1"/>
  <c r="J70" i="55"/>
  <c r="J157" i="55" a="1"/>
  <c r="J157" i="55"/>
  <c r="H67" i="55" a="1"/>
  <c r="H67" i="55"/>
  <c r="J141" i="55" a="1"/>
  <c r="J141" i="55"/>
  <c r="J86" i="55" a="1"/>
  <c r="J86" i="55"/>
  <c r="J31" i="55" a="1"/>
  <c r="J31" i="55"/>
  <c r="H161" i="55" a="1"/>
  <c r="H161" i="55"/>
  <c r="L161" i="55"/>
  <c r="H119" i="55" a="1"/>
  <c r="H119" i="55"/>
  <c r="H160" i="55" a="1"/>
  <c r="H160" i="55"/>
  <c r="L160" i="55"/>
  <c r="H48" i="55" a="1"/>
  <c r="H48" i="55"/>
  <c r="J106" i="55" a="1"/>
  <c r="J106" i="55"/>
  <c r="H131" i="55" a="1"/>
  <c r="H131" i="55"/>
  <c r="L131" i="55"/>
  <c r="J150" i="55" a="1"/>
  <c r="J150" i="55"/>
  <c r="H106" i="55" a="1"/>
  <c r="H106" i="55"/>
  <c r="J79" i="55" a="1"/>
  <c r="J79" i="55"/>
  <c r="H61" i="55" a="1"/>
  <c r="H61" i="55"/>
  <c r="L61" i="55"/>
  <c r="H92" i="55" a="1"/>
  <c r="H92" i="55"/>
  <c r="J82" i="55" a="1"/>
  <c r="J82" i="55"/>
  <c r="H104" i="55" a="1"/>
  <c r="H104" i="55"/>
  <c r="L104" i="55"/>
  <c r="H101" i="55" a="1"/>
  <c r="H101" i="55"/>
  <c r="L101" i="55"/>
  <c r="H99" i="55" a="1"/>
  <c r="H99" i="55"/>
  <c r="L99" i="55"/>
  <c r="J78" i="55" a="1"/>
  <c r="J78" i="55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/>
  <c r="A19" i="56"/>
  <c r="A20" i="56"/>
  <c r="A21" i="56"/>
  <c r="A22" i="56"/>
  <c r="A23" i="56"/>
  <c r="A24" i="56"/>
  <c r="A25" i="56"/>
  <c r="H63" i="71"/>
  <c r="I63" i="71"/>
  <c r="H52" i="14"/>
  <c r="F12" i="43"/>
  <c r="H5" i="39"/>
  <c r="M16" i="39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/>
  <c r="L16" i="57"/>
  <c r="L17" i="57"/>
  <c r="L18" i="57"/>
  <c r="L19" i="57"/>
  <c r="L20" i="57"/>
  <c r="L21" i="57"/>
  <c r="L22" i="57"/>
  <c r="L23" i="57"/>
  <c r="L24" i="57"/>
  <c r="L25" i="57"/>
  <c r="L26" i="57"/>
  <c r="L27" i="57"/>
  <c r="L28" i="57"/>
  <c r="L29" i="57"/>
  <c r="L30" i="57"/>
  <c r="L174" i="55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1" i="42"/>
  <c r="I122" i="42"/>
  <c r="H27" i="56"/>
  <c r="H16" i="71"/>
  <c r="I16" i="71"/>
  <c r="I16" i="14"/>
  <c r="G95" i="43"/>
  <c r="H16" i="14"/>
  <c r="G117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E132" i="42"/>
  <c r="H117" i="42"/>
  <c r="A29" i="56"/>
  <c r="I17" i="71"/>
  <c r="H17" i="71"/>
  <c r="H17" i="14"/>
  <c r="I17" i="14"/>
  <c r="I118" i="42"/>
  <c r="H18" i="71"/>
  <c r="I18" i="71"/>
  <c r="I18" i="14"/>
  <c r="H18" i="14"/>
  <c r="I19" i="71"/>
  <c r="H19" i="71"/>
  <c r="H19" i="14"/>
  <c r="I19" i="14"/>
  <c r="H20" i="71"/>
  <c r="I20" i="71"/>
  <c r="I20" i="14"/>
  <c r="H20" i="14"/>
  <c r="I21" i="71"/>
  <c r="H21" i="71"/>
  <c r="H21" i="14"/>
  <c r="I21" i="14"/>
  <c r="I22" i="14"/>
  <c r="H22" i="14"/>
  <c r="I22" i="71"/>
  <c r="H22" i="71"/>
  <c r="H23" i="71"/>
  <c r="H23" i="14"/>
  <c r="I23" i="14"/>
  <c r="I23" i="71"/>
  <c r="F15" i="47"/>
  <c r="I24" i="71"/>
  <c r="H24" i="71"/>
  <c r="I24" i="14"/>
  <c r="H24" i="14"/>
  <c r="F62" i="47"/>
  <c r="I63" i="47"/>
  <c r="H15" i="47"/>
  <c r="I15" i="47"/>
  <c r="I25" i="71"/>
  <c r="H25" i="71"/>
  <c r="H25" i="14"/>
  <c r="I25" i="14"/>
  <c r="H63" i="47"/>
  <c r="I16" i="47"/>
  <c r="H16" i="47"/>
  <c r="H26" i="71"/>
  <c r="I26" i="71"/>
  <c r="I26" i="14"/>
  <c r="H26" i="14"/>
  <c r="H17" i="47"/>
  <c r="I17" i="47"/>
  <c r="I27" i="71"/>
  <c r="H27" i="71"/>
  <c r="H27" i="14"/>
  <c r="I27" i="14"/>
  <c r="I18" i="47"/>
  <c r="H18" i="47"/>
  <c r="H28" i="71"/>
  <c r="I28" i="71"/>
  <c r="I28" i="14"/>
  <c r="H28" i="14"/>
  <c r="H19" i="47"/>
  <c r="I19" i="47"/>
  <c r="I29" i="71"/>
  <c r="H29" i="71"/>
  <c r="H29" i="14"/>
  <c r="I29" i="14"/>
  <c r="I20" i="47"/>
  <c r="H20" i="47"/>
  <c r="H30" i="71"/>
  <c r="I30" i="71"/>
  <c r="I30" i="14"/>
  <c r="H21" i="47"/>
  <c r="I21" i="47"/>
  <c r="H30" i="14"/>
  <c r="F95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I31" i="71"/>
  <c r="H31" i="71"/>
  <c r="H31" i="14"/>
  <c r="I22" i="47"/>
  <c r="H22" i="47"/>
  <c r="I31" i="14"/>
  <c r="H95" i="43"/>
  <c r="H96" i="43"/>
  <c r="H32" i="71"/>
  <c r="I32" i="71"/>
  <c r="I32" i="14"/>
  <c r="I23" i="47"/>
  <c r="H23" i="47"/>
  <c r="H32" i="14"/>
  <c r="I33" i="71"/>
  <c r="H33" i="71"/>
  <c r="H33" i="14"/>
  <c r="H24" i="47"/>
  <c r="I24" i="47"/>
  <c r="I33" i="14"/>
  <c r="H34" i="71"/>
  <c r="I34" i="14"/>
  <c r="I34" i="71"/>
  <c r="I25" i="47"/>
  <c r="H25" i="47"/>
  <c r="H34" i="14"/>
  <c r="I35" i="71"/>
  <c r="H35" i="14"/>
  <c r="H35" i="71"/>
  <c r="H36" i="71"/>
  <c r="H26" i="47"/>
  <c r="I26" i="47"/>
  <c r="I35" i="14"/>
  <c r="I36" i="14"/>
  <c r="I36" i="71"/>
  <c r="I37" i="71"/>
  <c r="I27" i="47"/>
  <c r="H27" i="47"/>
  <c r="H36" i="14"/>
  <c r="H37" i="14"/>
  <c r="H37" i="71"/>
  <c r="H38" i="71"/>
  <c r="H28" i="47"/>
  <c r="I28" i="47"/>
  <c r="I37" i="14"/>
  <c r="I38" i="14"/>
  <c r="I38" i="71"/>
  <c r="I39" i="71"/>
  <c r="I29" i="47"/>
  <c r="H29" i="47"/>
  <c r="H38" i="14"/>
  <c r="H39" i="14"/>
  <c r="H39" i="71"/>
  <c r="H40" i="71"/>
  <c r="H30" i="47"/>
  <c r="I30" i="47"/>
  <c r="I39" i="14"/>
  <c r="I40" i="14"/>
  <c r="I40" i="71"/>
  <c r="I41" i="71"/>
  <c r="I31" i="47"/>
  <c r="H31" i="47"/>
  <c r="H40" i="14"/>
  <c r="H41" i="14"/>
  <c r="H41" i="71"/>
  <c r="H42" i="71"/>
  <c r="H32" i="47"/>
  <c r="I32" i="47"/>
  <c r="I41" i="14"/>
  <c r="I42" i="14"/>
  <c r="I42" i="71"/>
  <c r="I43" i="71"/>
  <c r="I33" i="47"/>
  <c r="H33" i="47"/>
  <c r="H42" i="14"/>
  <c r="H43" i="14"/>
  <c r="H43" i="71"/>
  <c r="H44" i="71"/>
  <c r="H34" i="47"/>
  <c r="I34" i="47"/>
  <c r="I43" i="14"/>
  <c r="I44" i="14"/>
  <c r="I44" i="71"/>
  <c r="I45" i="71"/>
  <c r="I35" i="47"/>
  <c r="H35" i="47"/>
  <c r="H44" i="14"/>
  <c r="H45" i="14"/>
  <c r="H45" i="71"/>
  <c r="H46" i="71"/>
  <c r="H36" i="47"/>
  <c r="I36" i="47"/>
  <c r="I45" i="14"/>
  <c r="I46" i="14"/>
  <c r="I46" i="71"/>
  <c r="I47" i="71"/>
  <c r="I37" i="47"/>
  <c r="H37" i="47"/>
  <c r="H46" i="14"/>
  <c r="H47" i="14"/>
  <c r="H47" i="71"/>
  <c r="H48" i="71"/>
  <c r="H38" i="47"/>
  <c r="I38" i="47"/>
  <c r="I47" i="14"/>
  <c r="I48" i="14"/>
  <c r="I48" i="71"/>
  <c r="I49" i="71"/>
  <c r="I39" i="47"/>
  <c r="H39" i="47"/>
  <c r="H48" i="14"/>
  <c r="H49" i="14"/>
  <c r="H49" i="71"/>
  <c r="H50" i="71"/>
  <c r="H40" i="47"/>
  <c r="I40" i="47"/>
  <c r="I49" i="14"/>
  <c r="I50" i="71"/>
  <c r="I51" i="71"/>
  <c r="I41" i="47"/>
  <c r="H41" i="47"/>
  <c r="H51" i="71"/>
  <c r="H52" i="71"/>
  <c r="H42" i="47"/>
  <c r="I42" i="47"/>
  <c r="I52" i="71"/>
  <c r="I53" i="71"/>
  <c r="I43" i="47"/>
  <c r="H43" i="47"/>
  <c r="H53" i="71"/>
  <c r="H54" i="71"/>
  <c r="H44" i="47"/>
  <c r="I44" i="47"/>
  <c r="I54" i="71"/>
  <c r="I55" i="71"/>
  <c r="I45" i="47"/>
  <c r="H45" i="47"/>
  <c r="H55" i="71"/>
  <c r="H56" i="71"/>
  <c r="H46" i="47"/>
  <c r="I46" i="47"/>
  <c r="I56" i="71"/>
  <c r="I47" i="47"/>
  <c r="H47" i="47"/>
  <c r="H48" i="47"/>
  <c r="I48" i="47"/>
  <c r="I49" i="47"/>
  <c r="H49" i="47"/>
  <c r="H50" i="47"/>
  <c r="I50" i="47"/>
  <c r="I51" i="47"/>
  <c r="H51" i="47"/>
  <c r="H52" i="47"/>
  <c r="I52" i="47"/>
  <c r="I53" i="47"/>
  <c r="H53" i="47"/>
  <c r="B16" i="55"/>
  <c r="B17" i="55"/>
  <c r="B18" i="55"/>
  <c r="B19" i="55"/>
  <c r="B20" i="55"/>
  <c r="B21" i="55"/>
  <c r="H54" i="47"/>
  <c r="A16" i="55"/>
  <c r="I54" i="47"/>
  <c r="I55" i="47"/>
  <c r="A21" i="55"/>
  <c r="A17" i="55"/>
  <c r="H55" i="47"/>
  <c r="H56" i="47"/>
  <c r="I56" i="47"/>
  <c r="A18" i="55"/>
  <c r="I57" i="47"/>
  <c r="H57" i="47"/>
  <c r="H58" i="47"/>
  <c r="I58" i="47"/>
  <c r="I59" i="47"/>
  <c r="H59" i="47"/>
  <c r="H60" i="47"/>
  <c r="I60" i="47"/>
  <c r="J32" i="57"/>
  <c r="I24" i="73"/>
  <c r="H24" i="73"/>
  <c r="H10" i="73"/>
  <c r="I10" i="73"/>
  <c r="H32" i="57"/>
  <c r="L32" i="57"/>
  <c r="I52" i="73"/>
  <c r="H52" i="73"/>
  <c r="D13" i="39"/>
  <c r="F52" i="15" a="1"/>
  <c r="F52" i="15"/>
  <c r="F54" i="15" a="1"/>
  <c r="F54" i="15"/>
  <c r="J16" i="55" a="1"/>
  <c r="J16" i="55"/>
  <c r="J10" i="55" a="1"/>
  <c r="J10" i="55"/>
  <c r="F49" i="15" a="1"/>
  <c r="F49" i="15"/>
  <c r="J19" i="55" a="1"/>
  <c r="J19" i="55"/>
  <c r="J11" i="55" a="1"/>
  <c r="J11" i="55"/>
  <c r="J50" i="55" a="1"/>
  <c r="J50" i="55"/>
  <c r="J28" i="55" a="1"/>
  <c r="J28" i="55"/>
  <c r="E51" i="15" a="1"/>
  <c r="E51" i="15"/>
  <c r="E52" i="15" a="1"/>
  <c r="E52" i="15"/>
  <c r="F44" i="15" a="1"/>
  <c r="F44" i="15"/>
  <c r="F45" i="15"/>
  <c r="E48" i="15" a="1"/>
  <c r="E48" i="15"/>
  <c r="H18" i="55" a="1"/>
  <c r="H18" i="55"/>
  <c r="E50" i="15" a="1"/>
  <c r="E50" i="15"/>
  <c r="H17" i="55" a="1"/>
  <c r="H17" i="55"/>
  <c r="H19" i="55" a="1"/>
  <c r="H19" i="55"/>
  <c r="H50" i="55" a="1"/>
  <c r="H50" i="55"/>
  <c r="E49" i="15" a="1"/>
  <c r="E49" i="15"/>
  <c r="E32" i="15" a="1"/>
  <c r="E32" i="15"/>
  <c r="E7" i="12" a="1"/>
  <c r="E7" i="12"/>
  <c r="E28" i="15" a="1"/>
  <c r="E28" i="15"/>
  <c r="H20" i="55" a="1"/>
  <c r="H20" i="55"/>
  <c r="E46" i="15" a="1"/>
  <c r="E46" i="15"/>
  <c r="F9" i="12" a="1"/>
  <c r="F9" i="12"/>
  <c r="F22" i="15" a="1"/>
  <c r="F22" i="15"/>
  <c r="E31" i="15" a="1"/>
  <c r="E31" i="15"/>
  <c r="F37" i="15" a="1"/>
  <c r="F37" i="15"/>
  <c r="E10" i="12" a="1"/>
  <c r="E10" i="12"/>
  <c r="H10" i="55" a="1"/>
  <c r="H10" i="55"/>
  <c r="H11" i="55" a="1"/>
  <c r="H11" i="55"/>
  <c r="E47" i="15" a="1"/>
  <c r="E47" i="15"/>
  <c r="E53" i="15" a="1"/>
  <c r="E53" i="15"/>
  <c r="F28" i="15" a="1"/>
  <c r="F28" i="15"/>
  <c r="E22" i="15" a="1"/>
  <c r="E22" i="15"/>
  <c r="F19" i="15" a="1"/>
  <c r="F19" i="15"/>
  <c r="E35" i="15" a="1"/>
  <c r="E35" i="15"/>
  <c r="E12" i="15" a="1"/>
  <c r="E12" i="15"/>
  <c r="F14" i="15" a="1"/>
  <c r="F14" i="15"/>
  <c r="F29" i="15" a="1"/>
  <c r="F29" i="15"/>
  <c r="E20" i="15" a="1"/>
  <c r="E20" i="15"/>
  <c r="E26" i="15" a="1"/>
  <c r="E26" i="15"/>
  <c r="E27" i="15"/>
  <c r="J21" i="55" a="1"/>
  <c r="J21" i="55"/>
  <c r="F30" i="15" a="1"/>
  <c r="F30" i="15"/>
  <c r="F42" i="15" a="1"/>
  <c r="F42" i="15"/>
  <c r="E44" i="15" a="1"/>
  <c r="E44" i="15"/>
  <c r="F39" i="15" a="1"/>
  <c r="F39" i="15"/>
  <c r="F6" i="12" a="1"/>
  <c r="F6" i="12"/>
  <c r="F10" i="15" a="1"/>
  <c r="F10" i="15"/>
  <c r="E30" i="15" a="1"/>
  <c r="E30" i="15"/>
  <c r="E9" i="12" a="1"/>
  <c r="E9" i="12"/>
  <c r="E14" i="15" a="1"/>
  <c r="E14" i="15"/>
  <c r="E24" i="15" a="1"/>
  <c r="E24" i="15"/>
  <c r="E25" i="15"/>
  <c r="F41" i="15" a="1"/>
  <c r="F41" i="15"/>
  <c r="E23" i="15" a="1"/>
  <c r="E23" i="15"/>
  <c r="F20" i="15" a="1"/>
  <c r="F20" i="15"/>
  <c r="E10" i="15" a="1"/>
  <c r="E10" i="15"/>
  <c r="H28" i="55" a="1"/>
  <c r="H28" i="55"/>
  <c r="E29" i="15" a="1"/>
  <c r="E29" i="15"/>
  <c r="F15" i="15" a="1"/>
  <c r="F15" i="15"/>
  <c r="E17" i="15" a="1"/>
  <c r="E17" i="15"/>
  <c r="E37" i="15" a="1"/>
  <c r="E37" i="15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F32" i="15" a="1"/>
  <c r="F32" i="15"/>
  <c r="F23" i="15" a="1"/>
  <c r="F23" i="15"/>
  <c r="H21" i="55" a="1"/>
  <c r="H21" i="55"/>
  <c r="E6" i="12" a="1"/>
  <c r="E6" i="12"/>
  <c r="E42" i="15" a="1"/>
  <c r="E42" i="15"/>
  <c r="E54" i="15" a="1"/>
  <c r="E54" i="15"/>
  <c r="F35" i="15" a="1"/>
  <c r="F35" i="15"/>
  <c r="F26" i="15" a="1"/>
  <c r="F26" i="15"/>
  <c r="F27" i="15"/>
  <c r="E41" i="15" a="1"/>
  <c r="E41" i="15"/>
  <c r="C14" i="39"/>
  <c r="F38" i="70" a="1"/>
  <c r="F38" i="70"/>
  <c r="E40" i="70" a="1"/>
  <c r="E40" i="70"/>
  <c r="E39" i="70" a="1"/>
  <c r="E39" i="70"/>
  <c r="E38" i="70" a="1"/>
  <c r="E38" i="70"/>
  <c r="F39" i="70" a="1"/>
  <c r="F39" i="70"/>
  <c r="F40" i="70" a="1"/>
  <c r="F40" i="70"/>
  <c r="F51" i="15" a="1"/>
  <c r="F51" i="15"/>
  <c r="I51" i="15"/>
  <c r="E32" i="70" a="1"/>
  <c r="E32" i="70"/>
  <c r="E34" i="70" a="1"/>
  <c r="E34" i="70"/>
  <c r="E37" i="70" a="1"/>
  <c r="E37" i="70"/>
  <c r="F32" i="70" a="1"/>
  <c r="F32" i="70"/>
  <c r="F34" i="70" a="1"/>
  <c r="F34" i="70"/>
  <c r="F36" i="70" a="1"/>
  <c r="F36" i="70"/>
  <c r="E35" i="70" a="1"/>
  <c r="E35" i="70"/>
  <c r="F35" i="70" a="1"/>
  <c r="F35" i="70"/>
  <c r="E33" i="70" a="1"/>
  <c r="E33" i="70"/>
  <c r="F33" i="70" a="1"/>
  <c r="F33" i="70"/>
  <c r="E36" i="70" a="1"/>
  <c r="E36" i="70"/>
  <c r="F37" i="70" a="1"/>
  <c r="F37" i="70"/>
  <c r="E11" i="12" a="1"/>
  <c r="E11" i="12"/>
  <c r="E12" i="12" a="1"/>
  <c r="E12" i="12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F30" i="70" a="1"/>
  <c r="F30" i="70"/>
  <c r="E29" i="70" a="1"/>
  <c r="E29" i="70"/>
  <c r="E31" i="70" a="1"/>
  <c r="E31" i="70"/>
  <c r="F28" i="70" a="1"/>
  <c r="F28" i="70"/>
  <c r="E18" i="70" a="1"/>
  <c r="E18" i="70"/>
  <c r="F18" i="70" a="1"/>
  <c r="F18" i="70"/>
  <c r="I54" i="15"/>
  <c r="I52" i="15"/>
  <c r="L11" i="55"/>
  <c r="L10" i="55"/>
  <c r="L19" i="55"/>
  <c r="H31" i="15"/>
  <c r="J12" i="55" a="1"/>
  <c r="J12" i="55"/>
  <c r="H12" i="55" a="1"/>
  <c r="H12" i="55"/>
  <c r="F25" i="15"/>
  <c r="I49" i="15"/>
  <c r="J20" i="55" a="1"/>
  <c r="J20" i="55"/>
  <c r="L20" i="55"/>
  <c r="L50" i="55"/>
  <c r="L28" i="55"/>
  <c r="F8" i="70" a="1"/>
  <c r="F8" i="70"/>
  <c r="F23" i="70" a="1"/>
  <c r="F23" i="70"/>
  <c r="E7" i="70" a="1"/>
  <c r="E7" i="70"/>
  <c r="F6" i="70" a="1"/>
  <c r="F6" i="70"/>
  <c r="E14" i="70" a="1"/>
  <c r="E14" i="70"/>
  <c r="E13" i="70" a="1"/>
  <c r="E13" i="70"/>
  <c r="E23" i="70" a="1"/>
  <c r="E23" i="70"/>
  <c r="F20" i="70" a="1"/>
  <c r="F20" i="70"/>
  <c r="F21" i="70" a="1"/>
  <c r="F21" i="70"/>
  <c r="F11" i="70" a="1"/>
  <c r="F11" i="70"/>
  <c r="F10" i="70" a="1"/>
  <c r="F10" i="70"/>
  <c r="F25" i="70" a="1"/>
  <c r="F25" i="70"/>
  <c r="E27" i="70" a="1"/>
  <c r="E27" i="70"/>
  <c r="E17" i="70" a="1"/>
  <c r="E17" i="70"/>
  <c r="E22" i="70" a="1"/>
  <c r="E22" i="70"/>
  <c r="E15" i="70" a="1"/>
  <c r="E15" i="70"/>
  <c r="E10" i="70" a="1"/>
  <c r="E10" i="70"/>
  <c r="F14" i="70" a="1"/>
  <c r="F14" i="70"/>
  <c r="F13" i="70" a="1"/>
  <c r="F13" i="70"/>
  <c r="E26" i="70" a="1"/>
  <c r="E26" i="70"/>
  <c r="E9" i="70" a="1"/>
  <c r="E9" i="70"/>
  <c r="F15" i="70" a="1"/>
  <c r="F15" i="70"/>
  <c r="E16" i="70" a="1"/>
  <c r="E16" i="70"/>
  <c r="E19" i="70" a="1"/>
  <c r="E19" i="70"/>
  <c r="E12" i="70" a="1"/>
  <c r="E12" i="70"/>
  <c r="F7" i="70" a="1"/>
  <c r="F7" i="70"/>
  <c r="E24" i="70" a="1"/>
  <c r="E24" i="70"/>
  <c r="E8" i="70" a="1"/>
  <c r="E8" i="70"/>
  <c r="F22" i="70" a="1"/>
  <c r="F22" i="70"/>
  <c r="F24" i="70" a="1"/>
  <c r="F24" i="70"/>
  <c r="E6" i="70" a="1"/>
  <c r="E6" i="70"/>
  <c r="F19" i="70" a="1"/>
  <c r="F19" i="70"/>
  <c r="F9" i="70" a="1"/>
  <c r="F9" i="70"/>
  <c r="E20" i="70" a="1"/>
  <c r="E20" i="70"/>
  <c r="E21" i="70" a="1"/>
  <c r="E21" i="70"/>
  <c r="E11" i="70" a="1"/>
  <c r="E11" i="70"/>
  <c r="F27" i="70" a="1"/>
  <c r="F27" i="70"/>
  <c r="F17" i="70" a="1"/>
  <c r="F17" i="70"/>
  <c r="E25" i="70" a="1"/>
  <c r="E25" i="70"/>
  <c r="F16" i="70" a="1"/>
  <c r="F16" i="70"/>
  <c r="F12" i="70" a="1"/>
  <c r="F12" i="70"/>
  <c r="F26" i="70" a="1"/>
  <c r="F26" i="70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/>
  <c r="F16" i="15"/>
  <c r="G14" i="15"/>
  <c r="F11" i="15"/>
  <c r="H10" i="15"/>
  <c r="H11" i="15"/>
  <c r="H6" i="12"/>
  <c r="I44" i="15"/>
  <c r="E45" i="15"/>
  <c r="I45" i="15"/>
  <c r="H29" i="15"/>
  <c r="E13" i="15"/>
  <c r="G12" i="15"/>
  <c r="G13" i="15"/>
  <c r="G35" i="15"/>
  <c r="E36" i="15"/>
  <c r="F38" i="15"/>
  <c r="H37" i="15"/>
  <c r="H38" i="15"/>
  <c r="G31" i="15"/>
  <c r="F47" i="15" a="1"/>
  <c r="F47" i="15"/>
  <c r="I47" i="15"/>
  <c r="J17" i="55" a="1"/>
  <c r="J17" i="55"/>
  <c r="L17" i="55"/>
  <c r="H35" i="15"/>
  <c r="F36" i="15"/>
  <c r="G6" i="12"/>
  <c r="F13" i="15"/>
  <c r="H12" i="15"/>
  <c r="H13" i="15"/>
  <c r="F43" i="15"/>
  <c r="H42" i="15"/>
  <c r="H22" i="15"/>
  <c r="G32" i="15"/>
  <c r="G33" i="15"/>
  <c r="E33" i="15"/>
  <c r="E34" i="15"/>
  <c r="F48" i="15" a="1"/>
  <c r="F48" i="15"/>
  <c r="I48" i="15"/>
  <c r="L21" i="55"/>
  <c r="E21" i="15"/>
  <c r="G19" i="15"/>
  <c r="F18" i="15"/>
  <c r="H17" i="15"/>
  <c r="E38" i="15"/>
  <c r="G37" i="15"/>
  <c r="G38" i="15"/>
  <c r="E11" i="15"/>
  <c r="G10" i="15"/>
  <c r="G11" i="15"/>
  <c r="H20" i="15"/>
  <c r="G24" i="15"/>
  <c r="H30" i="15"/>
  <c r="G26" i="15"/>
  <c r="G27" i="15"/>
  <c r="H19" i="15"/>
  <c r="F21" i="15"/>
  <c r="H9" i="12"/>
  <c r="G28" i="15"/>
  <c r="J18" i="55" a="1"/>
  <c r="J18" i="55"/>
  <c r="L18" i="55"/>
  <c r="F50" i="15" a="1"/>
  <c r="F50" i="15"/>
  <c r="I50" i="15"/>
  <c r="F53" i="15" a="1"/>
  <c r="F53" i="15"/>
  <c r="I53" i="15"/>
  <c r="F46" i="15" a="1"/>
  <c r="F46" i="15"/>
  <c r="I46" i="15"/>
  <c r="H26" i="15"/>
  <c r="H27" i="15"/>
  <c r="H23" i="15"/>
  <c r="G41" i="15"/>
  <c r="F33" i="15"/>
  <c r="F34" i="15"/>
  <c r="H32" i="15"/>
  <c r="H33" i="15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/>
  <c r="J14" i="55"/>
  <c r="J15" i="55"/>
  <c r="H16" i="55" a="1"/>
  <c r="H16" i="55"/>
  <c r="H40" i="70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/>
  <c r="E16" i="12"/>
  <c r="E17" i="12"/>
  <c r="L12" i="55"/>
  <c r="E55" i="15"/>
  <c r="F55" i="15"/>
  <c r="G25" i="15"/>
  <c r="H25" i="15"/>
  <c r="F16" i="12"/>
  <c r="F17" i="12"/>
  <c r="G10" i="70"/>
  <c r="H182" i="55"/>
  <c r="H183" i="55"/>
  <c r="G12" i="70"/>
  <c r="H9" i="70"/>
  <c r="J182" i="55"/>
  <c r="J183" i="55"/>
  <c r="L16" i="55"/>
  <c r="H23" i="55"/>
  <c r="H24" i="55"/>
  <c r="J23" i="55"/>
  <c r="J24" i="55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/>
  <c r="G18" i="15"/>
  <c r="G34" i="15"/>
  <c r="G21" i="15"/>
  <c r="F43" i="70"/>
  <c r="F44" i="70"/>
  <c r="H10" i="70"/>
  <c r="H18" i="15"/>
  <c r="G16" i="15"/>
  <c r="H34" i="15"/>
  <c r="G40" i="15"/>
  <c r="G43" i="15"/>
  <c r="L9" i="55"/>
  <c r="H43" i="15"/>
  <c r="G36" i="15"/>
  <c r="F57" i="15"/>
  <c r="L14" i="55"/>
  <c r="L15" i="55"/>
  <c r="H55" i="15"/>
  <c r="G55" i="15"/>
  <c r="L182" i="55"/>
  <c r="L183" i="55"/>
  <c r="H16" i="12"/>
  <c r="G16" i="12"/>
  <c r="L23" i="55"/>
  <c r="L24" i="55"/>
  <c r="G43" i="70"/>
  <c r="H43" i="70"/>
  <c r="G44" i="70"/>
  <c r="H17" i="12"/>
  <c r="H57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</calcChain>
</file>

<file path=xl/sharedStrings.xml><?xml version="1.0" encoding="utf-8"?>
<sst xmlns="http://schemas.openxmlformats.org/spreadsheetml/2006/main" count="9795" uniqueCount="1094">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</sst>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8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31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02" customWidth="1"/>
    <col min="2" max="2" width="36.85546875" style="602" customWidth="1"/>
    <col min="3" max="4" width="7.42578125" style="601" customWidth="1"/>
    <col min="5" max="5" width="16.140625" style="602" customWidth="1"/>
    <col min="6" max="6" width="16.85546875" style="602" customWidth="1"/>
    <col min="7" max="7" width="16.42578125" style="602" customWidth="1"/>
    <col min="8" max="8" width="16.28515625" style="602" customWidth="1"/>
    <col min="9" max="9" width="2.42578125" style="602" customWidth="1"/>
    <col min="10" max="10" width="11" style="602" customWidth="1"/>
    <col min="11" max="11" width="2.85546875" style="602" customWidth="1"/>
    <col min="12" max="12" width="11.85546875" style="602" customWidth="1"/>
    <col min="13" max="16384" width="8" style="602"/>
  </cols>
  <sheetData>
    <row r="1" spans="1:16">
      <c r="A1" s="600"/>
      <c r="B1" s="600"/>
    </row>
    <row r="2" spans="1:16">
      <c r="A2" s="600" t="str">
        <f>TH!A1</f>
        <v>Đơn vị: CÔNG TY TNHH BAO BÌ GIẤY KIM DUNG PHÁT</v>
      </c>
      <c r="B2" s="600"/>
    </row>
    <row r="3" spans="1:16">
      <c r="A3" s="602" t="str">
        <f>TH!A2</f>
        <v>Địa chỉ: Ấp Rừng Sến, xã Mỹ Hạnh Bắc, Huyện Đức Hòa, Tỉnh Long An, Việt Nam</v>
      </c>
      <c r="B3" s="600"/>
    </row>
    <row r="5" spans="1:16" ht="36" customHeight="1">
      <c r="A5" s="603"/>
      <c r="B5" s="603"/>
      <c r="C5" s="604"/>
      <c r="D5" s="631" t="s">
        <v>342</v>
      </c>
      <c r="E5" s="603"/>
      <c r="F5" s="603"/>
      <c r="G5" s="603"/>
      <c r="H5" s="603"/>
    </row>
    <row r="6" spans="1:16">
      <c r="A6" s="603"/>
      <c r="B6" s="603"/>
      <c r="C6" s="604"/>
      <c r="D6" s="605" t="s">
        <v>399</v>
      </c>
      <c r="E6" s="603"/>
      <c r="F6" s="603"/>
      <c r="G6" s="603"/>
      <c r="H6" s="603"/>
    </row>
    <row r="7" spans="1:16" ht="6.75" customHeight="1"/>
    <row r="8" spans="1:16" ht="21.75" customHeight="1">
      <c r="A8" s="798" t="s">
        <v>361</v>
      </c>
      <c r="B8" s="798" t="s">
        <v>340</v>
      </c>
      <c r="C8" s="794" t="s">
        <v>36</v>
      </c>
      <c r="D8" s="795"/>
      <c r="E8" s="794" t="s">
        <v>37</v>
      </c>
      <c r="F8" s="795"/>
      <c r="G8" s="794" t="s">
        <v>341</v>
      </c>
      <c r="H8" s="795"/>
    </row>
    <row r="9" spans="1:16" ht="21.75" customHeight="1">
      <c r="A9" s="799"/>
      <c r="B9" s="799"/>
      <c r="C9" s="606" t="s">
        <v>41</v>
      </c>
      <c r="D9" s="606" t="s">
        <v>42</v>
      </c>
      <c r="E9" s="606" t="s">
        <v>41</v>
      </c>
      <c r="F9" s="606" t="s">
        <v>42</v>
      </c>
      <c r="G9" s="606" t="s">
        <v>41</v>
      </c>
      <c r="H9" s="606" t="s">
        <v>42</v>
      </c>
    </row>
    <row r="10" spans="1:16" s="601" customFormat="1" ht="17.25" customHeight="1">
      <c r="A10" s="607" t="s">
        <v>46</v>
      </c>
      <c r="B10" s="608" t="s">
        <v>47</v>
      </c>
      <c r="C10" s="609"/>
      <c r="D10" s="609"/>
      <c r="E10" s="610">
        <f t="array" ref="E10">SUM(IF(A10=KHN,TH))</f>
        <v>3004628591</v>
      </c>
      <c r="F10" s="610">
        <f t="array" ref="F10">SUM(IF(A10=KHC,TH))</f>
        <v>943135557</v>
      </c>
      <c r="G10" s="611">
        <f>MAX(C10+E10-D10-F10,0)</f>
        <v>2061493034</v>
      </c>
      <c r="H10" s="611">
        <f>MAX(D10+F10-E10-C10,0)</f>
        <v>0</v>
      </c>
      <c r="J10" s="602"/>
      <c r="K10" s="602"/>
      <c r="L10" s="602"/>
      <c r="M10" s="602"/>
      <c r="N10" s="602"/>
      <c r="O10" s="602"/>
      <c r="P10" s="602"/>
    </row>
    <row r="11" spans="1:16" s="601" customFormat="1" ht="17.25" customHeight="1">
      <c r="A11" s="612" t="s">
        <v>16</v>
      </c>
      <c r="B11" s="612" t="s">
        <v>48</v>
      </c>
      <c r="C11" s="613">
        <f t="shared" ref="C11:H11" si="0">C10</f>
        <v>0</v>
      </c>
      <c r="D11" s="613">
        <f t="shared" si="0"/>
        <v>0</v>
      </c>
      <c r="E11" s="614">
        <f t="shared" si="0"/>
        <v>3004628591</v>
      </c>
      <c r="F11" s="614">
        <f t="shared" si="0"/>
        <v>943135557</v>
      </c>
      <c r="G11" s="613">
        <f t="shared" si="0"/>
        <v>2061493034</v>
      </c>
      <c r="H11" s="613">
        <f t="shared" si="0"/>
        <v>0</v>
      </c>
      <c r="J11" s="602"/>
      <c r="K11" s="602"/>
      <c r="L11" s="602"/>
      <c r="M11" s="602"/>
      <c r="N11" s="602"/>
      <c r="O11" s="602"/>
      <c r="P11" s="602"/>
    </row>
    <row r="12" spans="1:16" s="601" customFormat="1" ht="17.25" customHeight="1">
      <c r="A12" s="608" t="s">
        <v>24</v>
      </c>
      <c r="B12" s="608" t="s">
        <v>49</v>
      </c>
      <c r="C12" s="609"/>
      <c r="D12" s="609">
        <v>0</v>
      </c>
      <c r="E12" s="610">
        <f t="array" ref="E12">SUM(IF(A12=KHN,TH))</f>
        <v>1206463158</v>
      </c>
      <c r="F12" s="610">
        <f t="array" ref="F12">SUM(IF(A12=KHC,TH))</f>
        <v>1190333221</v>
      </c>
      <c r="G12" s="611">
        <f>MAX(C12+E12-D12-F12,0)</f>
        <v>16129937</v>
      </c>
      <c r="H12" s="611">
        <f>MAX(D12+F12-E12-C12,0)</f>
        <v>0</v>
      </c>
      <c r="K12" s="615"/>
      <c r="L12" s="615"/>
      <c r="M12" s="615"/>
    </row>
    <row r="13" spans="1:16" s="601" customFormat="1" ht="17.25" customHeight="1">
      <c r="A13" s="612" t="s">
        <v>50</v>
      </c>
      <c r="B13" s="612" t="s">
        <v>51</v>
      </c>
      <c r="C13" s="613">
        <f t="shared" ref="C13:H13" si="1">C12</f>
        <v>0</v>
      </c>
      <c r="D13" s="613">
        <f t="shared" si="1"/>
        <v>0</v>
      </c>
      <c r="E13" s="614">
        <f t="shared" si="1"/>
        <v>1206463158</v>
      </c>
      <c r="F13" s="614">
        <f t="shared" si="1"/>
        <v>1190333221</v>
      </c>
      <c r="G13" s="613">
        <f t="shared" si="1"/>
        <v>16129937</v>
      </c>
      <c r="H13" s="613">
        <f t="shared" si="1"/>
        <v>0</v>
      </c>
    </row>
    <row r="14" spans="1:16" s="601" customFormat="1" ht="17.25" customHeight="1">
      <c r="A14" s="612" t="s">
        <v>251</v>
      </c>
      <c r="B14" s="612" t="s">
        <v>263</v>
      </c>
      <c r="C14" s="613"/>
      <c r="D14" s="613"/>
      <c r="E14" s="616">
        <f t="array" ref="E14">SUM(IF(A14=KHN,TH))</f>
        <v>1908076385</v>
      </c>
      <c r="F14" s="616">
        <f t="array" ref="F14">SUM(IF(A14=KHC,TH))</f>
        <v>1494788988</v>
      </c>
      <c r="G14" s="613">
        <f>MAX(C14+E14-D14-F14,0)</f>
        <v>413287397</v>
      </c>
      <c r="H14" s="613">
        <f>MAX(D14+F14-E14-C14,0)</f>
        <v>0</v>
      </c>
    </row>
    <row r="15" spans="1:16" s="601" customFormat="1" ht="17.25" customHeight="1">
      <c r="A15" s="608" t="s">
        <v>9</v>
      </c>
      <c r="B15" s="608" t="s">
        <v>52</v>
      </c>
      <c r="C15" s="609"/>
      <c r="D15" s="609"/>
      <c r="E15" s="610">
        <f t="array" ref="E15">SUM(IF(A15=KHN,TH))</f>
        <v>294729945</v>
      </c>
      <c r="F15" s="610">
        <f t="array" ref="F15">SUM(IF(A15=KHC,TH))</f>
        <v>172771288</v>
      </c>
      <c r="G15" s="611">
        <f>MAX(C15+E15-D15-F15,0)</f>
        <v>121958657</v>
      </c>
      <c r="H15" s="611">
        <f>MAX(D15+F15-E15-C15,0)</f>
        <v>0</v>
      </c>
    </row>
    <row r="16" spans="1:16" s="601" customFormat="1" ht="17.25" customHeight="1">
      <c r="A16" s="612" t="s">
        <v>53</v>
      </c>
      <c r="B16" s="612" t="s">
        <v>54</v>
      </c>
      <c r="C16" s="613">
        <f t="shared" ref="C16:H16" si="2">C15</f>
        <v>0</v>
      </c>
      <c r="D16" s="613">
        <f t="shared" si="2"/>
        <v>0</v>
      </c>
      <c r="E16" s="614">
        <f t="shared" si="2"/>
        <v>294729945</v>
      </c>
      <c r="F16" s="614">
        <f t="shared" si="2"/>
        <v>172771288</v>
      </c>
      <c r="G16" s="613">
        <f t="shared" si="2"/>
        <v>121958657</v>
      </c>
      <c r="H16" s="613">
        <f t="shared" si="2"/>
        <v>0</v>
      </c>
    </row>
    <row r="17" spans="1:8" s="601" customFormat="1" ht="17.25" customHeight="1">
      <c r="A17" s="608" t="s">
        <v>55</v>
      </c>
      <c r="B17" s="608" t="s">
        <v>56</v>
      </c>
      <c r="C17" s="609"/>
      <c r="D17" s="609"/>
      <c r="E17" s="610">
        <f t="array" ref="E17">SUM(IF(A17=KHN,TH))</f>
        <v>11286770</v>
      </c>
      <c r="F17" s="610">
        <f t="array" ref="F17">SUM(IF(A17=KHC,TH))</f>
        <v>11286770</v>
      </c>
      <c r="G17" s="611">
        <f t="shared" ref="G17:G32" si="3">MAX(C17+E17-D17-F17,0)</f>
        <v>0</v>
      </c>
      <c r="H17" s="611">
        <f t="shared" ref="H17:H32" si="4">MAX(D17+F17-E17-C17,0)</f>
        <v>0</v>
      </c>
    </row>
    <row r="18" spans="1:8" s="601" customFormat="1" ht="17.25" customHeight="1">
      <c r="A18" s="612" t="s">
        <v>57</v>
      </c>
      <c r="B18" s="612" t="s">
        <v>58</v>
      </c>
      <c r="C18" s="613">
        <f>C17</f>
        <v>0</v>
      </c>
      <c r="D18" s="613">
        <f>D17</f>
        <v>0</v>
      </c>
      <c r="E18" s="614">
        <f>E17</f>
        <v>11286770</v>
      </c>
      <c r="F18" s="614">
        <f>F17</f>
        <v>11286770</v>
      </c>
      <c r="G18" s="613">
        <f t="shared" si="3"/>
        <v>0</v>
      </c>
      <c r="H18" s="613">
        <f t="shared" si="4"/>
        <v>0</v>
      </c>
    </row>
    <row r="19" spans="1:8" s="601" customFormat="1" ht="17.25" customHeight="1">
      <c r="A19" s="608" t="s">
        <v>153</v>
      </c>
      <c r="B19" s="608" t="s">
        <v>154</v>
      </c>
      <c r="C19" s="609"/>
      <c r="D19" s="609"/>
      <c r="E19" s="610">
        <f t="array" ref="E19">SUM(IF(A19=KHN,TH))</f>
        <v>1551048800</v>
      </c>
      <c r="F19" s="610">
        <f t="array" ref="F19">SUM(IF(A19=KHC,TH))</f>
        <v>1121262800</v>
      </c>
      <c r="G19" s="611">
        <f t="shared" si="3"/>
        <v>429786000</v>
      </c>
      <c r="H19" s="611">
        <f t="shared" si="4"/>
        <v>0</v>
      </c>
    </row>
    <row r="20" spans="1:8" s="601" customFormat="1" ht="17.25" customHeight="1">
      <c r="A20" s="608" t="s">
        <v>155</v>
      </c>
      <c r="B20" s="608" t="s">
        <v>156</v>
      </c>
      <c r="C20" s="609"/>
      <c r="D20" s="609"/>
      <c r="E20" s="610">
        <f t="array" ref="E20">SUM(IF(A20=KHN,TH))</f>
        <v>246460100</v>
      </c>
      <c r="F20" s="610">
        <f t="array" ref="F20">SUM(IF(A20=KHC,TH))</f>
        <v>206404100</v>
      </c>
      <c r="G20" s="609">
        <f t="shared" si="3"/>
        <v>40056000</v>
      </c>
      <c r="H20" s="609">
        <f t="shared" si="4"/>
        <v>0</v>
      </c>
    </row>
    <row r="21" spans="1:8" s="601" customFormat="1" ht="17.25" customHeight="1">
      <c r="A21" s="612" t="s">
        <v>157</v>
      </c>
      <c r="B21" s="612" t="s">
        <v>158</v>
      </c>
      <c r="C21" s="613">
        <f>C19+C20</f>
        <v>0</v>
      </c>
      <c r="D21" s="613">
        <f>D19+D20</f>
        <v>0</v>
      </c>
      <c r="E21" s="614">
        <f>E19+E20</f>
        <v>1797508900</v>
      </c>
      <c r="F21" s="614">
        <f>F19+F20</f>
        <v>1327666900</v>
      </c>
      <c r="G21" s="613">
        <f t="shared" si="3"/>
        <v>469842000</v>
      </c>
      <c r="H21" s="613">
        <f t="shared" si="4"/>
        <v>0</v>
      </c>
    </row>
    <row r="22" spans="1:8" s="601" customFormat="1" ht="17.25" customHeight="1">
      <c r="A22" s="612" t="s">
        <v>159</v>
      </c>
      <c r="B22" s="612" t="s">
        <v>160</v>
      </c>
      <c r="C22" s="613"/>
      <c r="D22" s="613">
        <v>0</v>
      </c>
      <c r="E22" s="616">
        <f t="array" ref="E22">SUM(IF(A22=KHN,TH))</f>
        <v>1444698200</v>
      </c>
      <c r="F22" s="616">
        <f t="array" ref="F22">SUM(IF(A22=KHC,TH))</f>
        <v>1444698200</v>
      </c>
      <c r="G22" s="613">
        <f t="shared" si="3"/>
        <v>0</v>
      </c>
      <c r="H22" s="613">
        <f t="shared" si="4"/>
        <v>0</v>
      </c>
    </row>
    <row r="23" spans="1:8" s="601" customFormat="1" ht="17.25" customHeight="1">
      <c r="A23" s="612" t="s">
        <v>161</v>
      </c>
      <c r="B23" s="612" t="s">
        <v>162</v>
      </c>
      <c r="C23" s="613"/>
      <c r="D23" s="613"/>
      <c r="E23" s="616">
        <f t="array" ref="E23">SUM(IF(A23=KHN,TH))</f>
        <v>1444698200</v>
      </c>
      <c r="F23" s="616">
        <f t="array" ref="F23">SUM(IF(A23=KHC,TH))</f>
        <v>1444698200</v>
      </c>
      <c r="G23" s="613">
        <f t="shared" si="3"/>
        <v>0</v>
      </c>
      <c r="H23" s="613">
        <f t="shared" si="4"/>
        <v>0</v>
      </c>
    </row>
    <row r="24" spans="1:8" s="601" customFormat="1" ht="17.25" customHeight="1">
      <c r="A24" s="617" t="s">
        <v>163</v>
      </c>
      <c r="B24" s="618" t="s">
        <v>376</v>
      </c>
      <c r="C24" s="619"/>
      <c r="D24" s="619"/>
      <c r="E24" s="610">
        <f t="array" ref="E24">SUM(IF(A24=KHN,TH))</f>
        <v>840000000</v>
      </c>
      <c r="F24" s="610">
        <f t="array" ref="F24">SUM(IF(A24=KHC,TH))</f>
        <v>0</v>
      </c>
      <c r="G24" s="619">
        <f t="shared" si="3"/>
        <v>840000000</v>
      </c>
      <c r="H24" s="619">
        <f t="shared" si="4"/>
        <v>0</v>
      </c>
    </row>
    <row r="25" spans="1:8" s="601" customFormat="1" ht="17.25" customHeight="1">
      <c r="A25" s="612" t="s">
        <v>164</v>
      </c>
      <c r="B25" s="612" t="s">
        <v>165</v>
      </c>
      <c r="C25" s="613">
        <f t="shared" ref="C25:H25" si="5">SUM(C24:C24)</f>
        <v>0</v>
      </c>
      <c r="D25" s="613">
        <f t="shared" si="5"/>
        <v>0</v>
      </c>
      <c r="E25" s="614">
        <f t="shared" si="5"/>
        <v>840000000</v>
      </c>
      <c r="F25" s="614">
        <f t="shared" si="5"/>
        <v>0</v>
      </c>
      <c r="G25" s="613">
        <f t="shared" si="5"/>
        <v>840000000</v>
      </c>
      <c r="H25" s="613">
        <f t="shared" si="5"/>
        <v>0</v>
      </c>
    </row>
    <row r="26" spans="1:8" s="601" customFormat="1" ht="17.25" customHeight="1">
      <c r="A26" s="608" t="s">
        <v>252</v>
      </c>
      <c r="B26" s="608" t="s">
        <v>260</v>
      </c>
      <c r="C26" s="609"/>
      <c r="D26" s="609"/>
      <c r="E26" s="610">
        <f t="array" ref="E26">SUM(IF(A26=KHN,TH))</f>
        <v>0</v>
      </c>
      <c r="F26" s="610">
        <f t="array" ref="F26">SUM(IF(A26=KHC,TH))</f>
        <v>26500000</v>
      </c>
      <c r="G26" s="609">
        <f>MAX(C26+E26-D26-F26,0)</f>
        <v>0</v>
      </c>
      <c r="H26" s="609">
        <f>MAX(D26+F26-E26-C26,0)</f>
        <v>26500000</v>
      </c>
    </row>
    <row r="27" spans="1:8" s="601" customFormat="1" ht="17.25" customHeight="1">
      <c r="A27" s="612" t="s">
        <v>261</v>
      </c>
      <c r="B27" s="612" t="s">
        <v>262</v>
      </c>
      <c r="C27" s="613">
        <f>C26</f>
        <v>0</v>
      </c>
      <c r="D27" s="613">
        <f t="shared" ref="D27:H27" si="6">D26</f>
        <v>0</v>
      </c>
      <c r="E27" s="614">
        <f t="shared" si="6"/>
        <v>0</v>
      </c>
      <c r="F27" s="614">
        <f t="shared" si="6"/>
        <v>26500000</v>
      </c>
      <c r="G27" s="613">
        <f t="shared" si="6"/>
        <v>0</v>
      </c>
      <c r="H27" s="613">
        <f t="shared" si="6"/>
        <v>26500000</v>
      </c>
    </row>
    <row r="28" spans="1:8" s="601" customFormat="1" ht="17.25" customHeight="1">
      <c r="A28" s="612" t="s">
        <v>8</v>
      </c>
      <c r="B28" s="612" t="s">
        <v>59</v>
      </c>
      <c r="C28" s="613"/>
      <c r="D28" s="613"/>
      <c r="E28" s="616">
        <f t="array" ref="E28">SUM(IF(A28=KHN,TH))</f>
        <v>1001806110</v>
      </c>
      <c r="F28" s="616">
        <f t="array" ref="F28">SUM(IF(A28=KHC,TH))</f>
        <v>3145459790</v>
      </c>
      <c r="G28" s="613">
        <f t="shared" si="3"/>
        <v>0</v>
      </c>
      <c r="H28" s="613">
        <f t="shared" si="4"/>
        <v>2143653680</v>
      </c>
    </row>
    <row r="29" spans="1:8" s="601" customFormat="1" ht="17.25" customHeight="1">
      <c r="A29" s="620" t="s">
        <v>350</v>
      </c>
      <c r="B29" s="608" t="s">
        <v>349</v>
      </c>
      <c r="C29" s="609"/>
      <c r="D29" s="609"/>
      <c r="E29" s="610">
        <f t="array" ref="E29">SUM(IF(A29=KHN,TH))</f>
        <v>172771288</v>
      </c>
      <c r="F29" s="610">
        <f t="array" ref="F29">SUM(IF(A29=KHC,TH))</f>
        <v>172771288</v>
      </c>
      <c r="G29" s="609">
        <f t="shared" ref="G29" si="7">MAX(C29+E29-D29-F29,0)</f>
        <v>0</v>
      </c>
      <c r="H29" s="609">
        <f t="shared" ref="H29" si="8">MAX(D29+F29-E29-C29,0)</f>
        <v>0</v>
      </c>
    </row>
    <row r="30" spans="1:8" s="601" customFormat="1" ht="17.25" customHeight="1">
      <c r="A30" s="608" t="s">
        <v>60</v>
      </c>
      <c r="B30" s="608" t="s">
        <v>61</v>
      </c>
      <c r="C30" s="609"/>
      <c r="D30" s="609"/>
      <c r="E30" s="610">
        <f t="array" ref="E30">SUM(IF(A30=KHN,TH))</f>
        <v>0</v>
      </c>
      <c r="F30" s="610">
        <f t="array" ref="F30">SUM(IF(A30=KHC,TH))</f>
        <v>0</v>
      </c>
      <c r="G30" s="609">
        <f t="shared" si="3"/>
        <v>0</v>
      </c>
      <c r="H30" s="609">
        <f t="shared" si="4"/>
        <v>0</v>
      </c>
    </row>
    <row r="31" spans="1:8" s="601" customFormat="1" ht="17.25" customHeight="1">
      <c r="A31" s="608" t="s">
        <v>258</v>
      </c>
      <c r="B31" s="608" t="s">
        <v>259</v>
      </c>
      <c r="C31" s="609"/>
      <c r="D31" s="609"/>
      <c r="E31" s="610">
        <f t="array" ref="E31">SUM(IF(A31=KHN,TH))</f>
        <v>0</v>
      </c>
      <c r="F31" s="610">
        <f t="array" ref="F31">SUM(IF(A31=KHC,TH))</f>
        <v>0</v>
      </c>
      <c r="G31" s="609">
        <f t="shared" si="3"/>
        <v>0</v>
      </c>
      <c r="H31" s="609">
        <f t="shared" si="4"/>
        <v>0</v>
      </c>
    </row>
    <row r="32" spans="1:8" s="601" customFormat="1" ht="17.25" customHeight="1">
      <c r="A32" s="620" t="s">
        <v>62</v>
      </c>
      <c r="B32" s="621" t="s">
        <v>63</v>
      </c>
      <c r="C32" s="622"/>
      <c r="D32" s="622"/>
      <c r="E32" s="623">
        <f t="array" ref="E32">SUM(IF(A32=KHN,TH))</f>
        <v>1000000</v>
      </c>
      <c r="F32" s="623">
        <f t="array" ref="F32">SUM(IF(A32=KHC,TH))</f>
        <v>1000000</v>
      </c>
      <c r="G32" s="622">
        <f t="shared" si="3"/>
        <v>0</v>
      </c>
      <c r="H32" s="622">
        <f t="shared" si="4"/>
        <v>0</v>
      </c>
    </row>
    <row r="33" spans="1:10" s="601" customFormat="1" ht="17.25" customHeight="1">
      <c r="A33" s="608" t="s">
        <v>18</v>
      </c>
      <c r="B33" s="608" t="s">
        <v>64</v>
      </c>
      <c r="C33" s="609">
        <f>C32</f>
        <v>0</v>
      </c>
      <c r="D33" s="609">
        <f t="shared" ref="D33:H33" si="9">D32</f>
        <v>0</v>
      </c>
      <c r="E33" s="610">
        <f t="shared" si="9"/>
        <v>1000000</v>
      </c>
      <c r="F33" s="610">
        <f t="shared" si="9"/>
        <v>1000000</v>
      </c>
      <c r="G33" s="609">
        <f t="shared" si="9"/>
        <v>0</v>
      </c>
      <c r="H33" s="609">
        <f t="shared" si="9"/>
        <v>0</v>
      </c>
    </row>
    <row r="34" spans="1:10" s="601" customFormat="1" ht="17.25" customHeight="1">
      <c r="A34" s="612" t="s">
        <v>65</v>
      </c>
      <c r="B34" s="612" t="s">
        <v>66</v>
      </c>
      <c r="C34" s="613">
        <f>C30+C33+C31+C29</f>
        <v>0</v>
      </c>
      <c r="D34" s="613">
        <f t="shared" ref="D34:H34" si="10">D30+D33+D31+D29</f>
        <v>0</v>
      </c>
      <c r="E34" s="614">
        <f t="shared" si="10"/>
        <v>173771288</v>
      </c>
      <c r="F34" s="614">
        <f t="shared" si="10"/>
        <v>173771288</v>
      </c>
      <c r="G34" s="613">
        <f t="shared" si="10"/>
        <v>0</v>
      </c>
      <c r="H34" s="613">
        <f t="shared" si="10"/>
        <v>0</v>
      </c>
    </row>
    <row r="35" spans="1:10" s="601" customFormat="1" ht="17.25" customHeight="1">
      <c r="A35" s="608" t="s">
        <v>254</v>
      </c>
      <c r="B35" s="608" t="s">
        <v>255</v>
      </c>
      <c r="C35" s="609">
        <v>0</v>
      </c>
      <c r="D35" s="609">
        <v>0</v>
      </c>
      <c r="E35" s="610">
        <f t="array" ref="E35">SUM(IF(A35=KHN,TH))</f>
        <v>110175000</v>
      </c>
      <c r="F35" s="610">
        <f t="array" ref="F35">SUM(IF(A35=KHC,TH))</f>
        <v>110175000</v>
      </c>
      <c r="G35" s="609">
        <f t="shared" ref="G35:G37" si="11">MAX(C35+E35-D35-F35,0)</f>
        <v>0</v>
      </c>
      <c r="H35" s="609">
        <f t="shared" ref="H35:H37" si="12">MAX(D35+F35-E35-C35,0)</f>
        <v>0</v>
      </c>
    </row>
    <row r="36" spans="1:10" s="601" customFormat="1" ht="17.25" customHeight="1">
      <c r="A36" s="612" t="s">
        <v>256</v>
      </c>
      <c r="B36" s="612" t="s">
        <v>257</v>
      </c>
      <c r="C36" s="613">
        <f>C35</f>
        <v>0</v>
      </c>
      <c r="D36" s="613">
        <f>D35</f>
        <v>0</v>
      </c>
      <c r="E36" s="614">
        <f>E35</f>
        <v>110175000</v>
      </c>
      <c r="F36" s="614">
        <f>F35</f>
        <v>110175000</v>
      </c>
      <c r="G36" s="613">
        <f t="shared" si="11"/>
        <v>0</v>
      </c>
      <c r="H36" s="613">
        <f t="shared" si="12"/>
        <v>0</v>
      </c>
    </row>
    <row r="37" spans="1:10" s="601" customFormat="1" ht="17.25" customHeight="1">
      <c r="A37" s="608" t="s">
        <v>17</v>
      </c>
      <c r="B37" s="608" t="s">
        <v>67</v>
      </c>
      <c r="C37" s="609"/>
      <c r="D37" s="609"/>
      <c r="E37" s="610">
        <f t="array" ref="E37">SUM(IF(A37=KHN,TH))</f>
        <v>0</v>
      </c>
      <c r="F37" s="610">
        <f t="array" ref="F37">SUM(IF(A37=KHC,TH))</f>
        <v>0</v>
      </c>
      <c r="G37" s="609">
        <f t="shared" si="11"/>
        <v>0</v>
      </c>
      <c r="H37" s="609">
        <f t="shared" si="12"/>
        <v>0</v>
      </c>
    </row>
    <row r="38" spans="1:10" s="601" customFormat="1" ht="17.25" customHeight="1">
      <c r="A38" s="612" t="s">
        <v>68</v>
      </c>
      <c r="B38" s="612" t="s">
        <v>69</v>
      </c>
      <c r="C38" s="613">
        <f t="shared" ref="C38:H38" si="13">SUM(C37:C37)</f>
        <v>0</v>
      </c>
      <c r="D38" s="613">
        <f t="shared" si="13"/>
        <v>0</v>
      </c>
      <c r="E38" s="614">
        <f t="shared" si="13"/>
        <v>0</v>
      </c>
      <c r="F38" s="614">
        <f t="shared" si="13"/>
        <v>0</v>
      </c>
      <c r="G38" s="613">
        <f t="shared" si="13"/>
        <v>0</v>
      </c>
      <c r="H38" s="613">
        <f t="shared" si="13"/>
        <v>0</v>
      </c>
    </row>
    <row r="39" spans="1:10" s="601" customFormat="1" ht="17.25" customHeight="1">
      <c r="A39" s="608" t="s">
        <v>25</v>
      </c>
      <c r="B39" s="608" t="s">
        <v>70</v>
      </c>
      <c r="C39" s="609"/>
      <c r="D39" s="609"/>
      <c r="E39" s="610">
        <f t="array" ref="E39">SUM(IF(A39=KHN,TH))</f>
        <v>0</v>
      </c>
      <c r="F39" s="610">
        <f t="array" ref="F39">SUM(IF(A39=KHC,TH))</f>
        <v>1800000000</v>
      </c>
      <c r="G39" s="611">
        <f>MAX(C39+E39-D39-F39,0)</f>
        <v>0</v>
      </c>
      <c r="H39" s="611">
        <f>MAX(D39+F39-E39-C39,0)</f>
        <v>1800000000</v>
      </c>
    </row>
    <row r="40" spans="1:10" s="601" customFormat="1" ht="17.25" customHeight="1">
      <c r="A40" s="612" t="s">
        <v>71</v>
      </c>
      <c r="B40" s="612" t="s">
        <v>72</v>
      </c>
      <c r="C40" s="613">
        <v>0</v>
      </c>
      <c r="D40" s="613">
        <f>D39</f>
        <v>0</v>
      </c>
      <c r="E40" s="614">
        <f>E39</f>
        <v>0</v>
      </c>
      <c r="F40" s="614">
        <f>F39</f>
        <v>1800000000</v>
      </c>
      <c r="G40" s="613">
        <f>MAX(C40+E40-D40-F40,0)</f>
        <v>0</v>
      </c>
      <c r="H40" s="613">
        <f>MAX(D40+F40-E40-C40,0)</f>
        <v>1800000000</v>
      </c>
    </row>
    <row r="41" spans="1:10" s="601" customFormat="1" ht="17.25" customHeight="1">
      <c r="A41" s="607" t="s">
        <v>73</v>
      </c>
      <c r="B41" s="608" t="s">
        <v>74</v>
      </c>
      <c r="C41" s="609"/>
      <c r="D41" s="609"/>
      <c r="E41" s="610">
        <f t="array" ref="E41">SUM(IF(A41=KHN,TH))</f>
        <v>0</v>
      </c>
      <c r="F41" s="610">
        <f t="array" ref="F41">SUM(IF(A41=KHC,TH))</f>
        <v>0</v>
      </c>
      <c r="G41" s="611">
        <f>MAX(C41+E41-D41-F41,0)</f>
        <v>0</v>
      </c>
      <c r="H41" s="611">
        <f>MAX(D41+F41-E41-C41,0)</f>
        <v>0</v>
      </c>
    </row>
    <row r="42" spans="1:10" s="601" customFormat="1" ht="17.25" customHeight="1">
      <c r="A42" s="608" t="s">
        <v>75</v>
      </c>
      <c r="B42" s="608" t="s">
        <v>76</v>
      </c>
      <c r="C42" s="609"/>
      <c r="D42" s="609"/>
      <c r="E42" s="610">
        <f t="array" ref="E42">SUM(IF(A42=TH!$L$10:$L$1396,TH!$K$10:$K$1396))</f>
        <v>47442655</v>
      </c>
      <c r="F42" s="610">
        <f t="array" ref="F42">SUM(IF(A42=TH!$M$10:$M$1396,TH!$K$10:$K$1396))</f>
        <v>0</v>
      </c>
      <c r="G42" s="609">
        <f>MAX(C42+E42-D42-F42,0)</f>
        <v>47442655</v>
      </c>
      <c r="H42" s="609">
        <f>MAX(D42+F42-E42-C42,0)</f>
        <v>0</v>
      </c>
      <c r="J42" s="453"/>
    </row>
    <row r="43" spans="1:10" s="601" customFormat="1" ht="17.25" customHeight="1">
      <c r="A43" s="612" t="s">
        <v>77</v>
      </c>
      <c r="B43" s="612" t="s">
        <v>78</v>
      </c>
      <c r="C43" s="613">
        <f t="shared" ref="C43:H43" si="14">C42+C41</f>
        <v>0</v>
      </c>
      <c r="D43" s="613">
        <f t="shared" si="14"/>
        <v>0</v>
      </c>
      <c r="E43" s="614">
        <f t="shared" si="14"/>
        <v>47442655</v>
      </c>
      <c r="F43" s="614">
        <f t="shared" si="14"/>
        <v>0</v>
      </c>
      <c r="G43" s="613">
        <f t="shared" si="14"/>
        <v>47442655</v>
      </c>
      <c r="H43" s="613">
        <f t="shared" si="14"/>
        <v>0</v>
      </c>
    </row>
    <row r="44" spans="1:10" s="601" customFormat="1" ht="17.25" customHeight="1">
      <c r="A44" s="607" t="s">
        <v>168</v>
      </c>
      <c r="B44" s="608" t="s">
        <v>169</v>
      </c>
      <c r="C44" s="609"/>
      <c r="D44" s="609"/>
      <c r="E44" s="610">
        <f t="array" ref="E44">SUM(IF(A44=KHN,TH))</f>
        <v>1727712897</v>
      </c>
      <c r="F44" s="610">
        <f t="array" ref="F44">SUM(IF(A44=KHC,TH))</f>
        <v>1727712897</v>
      </c>
      <c r="G44" s="611"/>
      <c r="H44" s="611"/>
      <c r="I44" s="601">
        <f>E44-F44</f>
        <v>0</v>
      </c>
    </row>
    <row r="45" spans="1:10" s="601" customFormat="1" ht="17.25" customHeight="1">
      <c r="A45" s="612" t="s">
        <v>170</v>
      </c>
      <c r="B45" s="612" t="s">
        <v>171</v>
      </c>
      <c r="C45" s="613"/>
      <c r="D45" s="613"/>
      <c r="E45" s="614">
        <f>E44</f>
        <v>1727712897</v>
      </c>
      <c r="F45" s="614">
        <f>F44</f>
        <v>1727712897</v>
      </c>
      <c r="G45" s="613"/>
      <c r="H45" s="613"/>
      <c r="I45" s="601">
        <f>E45-F45</f>
        <v>0</v>
      </c>
    </row>
    <row r="46" spans="1:10" s="601" customFormat="1" ht="17.25" customHeight="1">
      <c r="A46" s="612" t="s">
        <v>39</v>
      </c>
      <c r="B46" s="612" t="s">
        <v>79</v>
      </c>
      <c r="C46" s="613"/>
      <c r="D46" s="613"/>
      <c r="E46" s="616">
        <f t="array" ref="E46">SUM(IF(A46=KHN,TH))</f>
        <v>20851</v>
      </c>
      <c r="F46" s="616">
        <f t="array" ref="F46">SUM(IF(A46=KHC,TH))</f>
        <v>20851</v>
      </c>
      <c r="G46" s="613"/>
      <c r="H46" s="613"/>
      <c r="I46" s="601">
        <f t="shared" ref="I46:I54" si="15">E46-F46</f>
        <v>0</v>
      </c>
    </row>
    <row r="47" spans="1:10" s="601" customFormat="1" ht="17.25" customHeight="1">
      <c r="A47" s="612" t="s">
        <v>166</v>
      </c>
      <c r="B47" s="612" t="s">
        <v>167</v>
      </c>
      <c r="C47" s="613"/>
      <c r="D47" s="613"/>
      <c r="E47" s="616">
        <f t="array" ref="E47">SUM(IF(A47=KHN,TH))</f>
        <v>1457006900</v>
      </c>
      <c r="F47" s="616">
        <f t="array" ref="F47">SUM(IF(A47=KHC,TH))</f>
        <v>1457006900</v>
      </c>
      <c r="G47" s="613"/>
      <c r="H47" s="613"/>
      <c r="I47" s="601">
        <f t="shared" si="15"/>
        <v>0</v>
      </c>
    </row>
    <row r="48" spans="1:10" s="601" customFormat="1" ht="17.25" customHeight="1">
      <c r="A48" s="612" t="s">
        <v>80</v>
      </c>
      <c r="B48" s="612" t="s">
        <v>81</v>
      </c>
      <c r="C48" s="613"/>
      <c r="D48" s="613"/>
      <c r="E48" s="616">
        <f t="array" ref="E48">SUM(IF(A48=KHN,TH))</f>
        <v>0</v>
      </c>
      <c r="F48" s="616">
        <f t="array" ref="F48">SUM(IF(A48=KHC,TH))</f>
        <v>0</v>
      </c>
      <c r="G48" s="613"/>
      <c r="H48" s="613"/>
      <c r="I48" s="601">
        <f t="shared" si="15"/>
        <v>0</v>
      </c>
    </row>
    <row r="49" spans="1:9" s="601" customFormat="1" ht="17.25" customHeight="1">
      <c r="A49" s="624" t="s">
        <v>253</v>
      </c>
      <c r="B49" s="612" t="s">
        <v>320</v>
      </c>
      <c r="C49" s="613"/>
      <c r="D49" s="613"/>
      <c r="E49" s="616">
        <f t="array" ref="E49">SUM(IF(A49=KHN,TH))</f>
        <v>27431523</v>
      </c>
      <c r="F49" s="616">
        <f t="array" ref="F49">SUM(IF(A49=KHC,TH))</f>
        <v>27431523</v>
      </c>
      <c r="G49" s="613"/>
      <c r="H49" s="613"/>
      <c r="I49" s="601">
        <f>E49-F49</f>
        <v>0</v>
      </c>
    </row>
    <row r="50" spans="1:9" s="601" customFormat="1" ht="17.25" customHeight="1">
      <c r="A50" s="612" t="s">
        <v>82</v>
      </c>
      <c r="B50" s="612" t="s">
        <v>83</v>
      </c>
      <c r="C50" s="613"/>
      <c r="D50" s="613"/>
      <c r="E50" s="616">
        <f t="array" ref="E50">SUM(IF(A50=KHN,TH))</f>
        <v>290737980</v>
      </c>
      <c r="F50" s="616">
        <f t="array" ref="F50">SUM(IF(A50=KHC,TH))</f>
        <v>290737980</v>
      </c>
      <c r="G50" s="613"/>
      <c r="H50" s="613"/>
      <c r="I50" s="601">
        <f t="shared" si="15"/>
        <v>0</v>
      </c>
    </row>
    <row r="51" spans="1:9" s="601" customFormat="1" ht="17.25" customHeight="1">
      <c r="A51" s="624" t="s">
        <v>84</v>
      </c>
      <c r="B51" s="612" t="s">
        <v>85</v>
      </c>
      <c r="C51" s="613"/>
      <c r="D51" s="613"/>
      <c r="E51" s="616">
        <f t="array" ref="E51">SUM(IF(A51=KHN,TH))</f>
        <v>0</v>
      </c>
      <c r="F51" s="616">
        <f t="array" ref="F51">SUM(IF(A51=KHC,TH))</f>
        <v>0</v>
      </c>
      <c r="G51" s="613"/>
      <c r="H51" s="613"/>
      <c r="I51" s="601">
        <f t="shared" si="15"/>
        <v>0</v>
      </c>
    </row>
    <row r="52" spans="1:9" s="601" customFormat="1" ht="17.25" customHeight="1">
      <c r="A52" s="612" t="s">
        <v>86</v>
      </c>
      <c r="B52" s="612" t="s">
        <v>87</v>
      </c>
      <c r="C52" s="613"/>
      <c r="D52" s="613"/>
      <c r="E52" s="616">
        <f t="array" ref="E52">SUM(IF(A52=KHN,TH))</f>
        <v>0</v>
      </c>
      <c r="F52" s="616">
        <f t="array" ref="F52">SUM(IF(A52=KHC,TH))</f>
        <v>0</v>
      </c>
      <c r="G52" s="613"/>
      <c r="H52" s="613"/>
      <c r="I52" s="601">
        <f t="shared" si="15"/>
        <v>0</v>
      </c>
    </row>
    <row r="53" spans="1:9" s="601" customFormat="1" ht="17.25" customHeight="1">
      <c r="A53" s="624" t="s">
        <v>88</v>
      </c>
      <c r="B53" s="612" t="s">
        <v>89</v>
      </c>
      <c r="C53" s="613"/>
      <c r="D53" s="613"/>
      <c r="E53" s="616">
        <f t="array" ref="E53">SUM(IF(A53=KHN,TH))</f>
        <v>0</v>
      </c>
      <c r="F53" s="616">
        <f t="array" ref="F53">SUM(IF(A53=KHC,TH))</f>
        <v>0</v>
      </c>
      <c r="G53" s="613"/>
      <c r="H53" s="613"/>
      <c r="I53" s="601">
        <f t="shared" si="15"/>
        <v>0</v>
      </c>
    </row>
    <row r="54" spans="1:9" s="601" customFormat="1" ht="17.25" customHeight="1">
      <c r="A54" s="612" t="s">
        <v>90</v>
      </c>
      <c r="B54" s="612" t="s">
        <v>91</v>
      </c>
      <c r="C54" s="613"/>
      <c r="D54" s="613"/>
      <c r="E54" s="625">
        <f t="array" ref="E54">SUM(IF(A54=KHN,TH))</f>
        <v>1775176403</v>
      </c>
      <c r="F54" s="625">
        <f t="array" ref="F54">SUM(IF(A54=TH!$M$10:$M$1396,TH!$K$10:$K$1396))</f>
        <v>1775176403</v>
      </c>
      <c r="G54" s="613"/>
      <c r="H54" s="613"/>
      <c r="I54" s="601">
        <f t="shared" si="15"/>
        <v>0</v>
      </c>
    </row>
    <row r="55" spans="1:9" s="601" customFormat="1" ht="17.25" customHeight="1">
      <c r="A55" s="796" t="s">
        <v>38</v>
      </c>
      <c r="B55" s="797"/>
      <c r="C55" s="626">
        <f t="shared" ref="C55:H55" si="16">C11+C13+C14+C16+C18+C21+C22+C23+C25+C27+C28+C34+C36+C38+C40+C43+C45+C46+C47+C48+C49+C50+C51+C52+C53+C54</f>
        <v>0</v>
      </c>
      <c r="D55" s="626">
        <f t="shared" si="16"/>
        <v>0</v>
      </c>
      <c r="E55" s="627">
        <f t="shared" si="16"/>
        <v>18563371756</v>
      </c>
      <c r="F55" s="627">
        <f t="shared" si="16"/>
        <v>18563371756</v>
      </c>
      <c r="G55" s="626">
        <f t="shared" si="16"/>
        <v>3970153680</v>
      </c>
      <c r="H55" s="626">
        <f t="shared" si="16"/>
        <v>3970153680</v>
      </c>
    </row>
    <row r="56" spans="1:9">
      <c r="E56" s="628"/>
      <c r="F56" s="629"/>
    </row>
    <row r="57" spans="1:9">
      <c r="E57" s="629"/>
      <c r="F57" s="629">
        <f>E55-F55</f>
        <v>0</v>
      </c>
      <c r="H57" s="629">
        <f>G55-H55</f>
        <v>0</v>
      </c>
    </row>
    <row r="58" spans="1:9">
      <c r="E58" s="630"/>
      <c r="F58" s="630"/>
    </row>
    <row r="59" spans="1:9">
      <c r="E59" s="630"/>
      <c r="F59" s="6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Z1400"/>
  <sheetViews>
    <sheetView tabSelected="1" topLeftCell="A7" workbookViewId="0">
      <pane ySplit="3" topLeftCell="A771" activePane="bottomLeft" state="frozen"/>
      <selection activeCell="A7" sqref="A7"/>
      <selection pane="bottomLeft" activeCell="L654" sqref="L635:L654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637</v>
      </c>
      <c r="B1" s="7"/>
      <c r="C1" s="7"/>
      <c r="D1" s="8"/>
      <c r="E1" s="8"/>
      <c r="F1" s="9"/>
      <c r="G1" s="297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636</v>
      </c>
      <c r="B2" s="7"/>
      <c r="C2" s="7"/>
      <c r="D2" s="8"/>
      <c r="E2" s="8"/>
      <c r="F2" s="8"/>
      <c r="G2" s="297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97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801" t="s">
        <v>92</v>
      </c>
      <c r="D4" s="801"/>
      <c r="E4" s="801"/>
      <c r="F4" s="801"/>
      <c r="G4" s="801"/>
      <c r="H4" s="801"/>
      <c r="I4" s="801"/>
      <c r="J4" s="801"/>
      <c r="K4" s="801"/>
      <c r="L4" s="801"/>
      <c r="M4" s="801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802"/>
      <c r="D5" s="802"/>
      <c r="E5" s="802"/>
      <c r="F5" s="802"/>
      <c r="G5" s="802"/>
      <c r="H5" s="802"/>
      <c r="I5" s="802"/>
      <c r="J5" s="802"/>
      <c r="K5" s="802"/>
      <c r="L5" s="802"/>
      <c r="M5" s="802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817" t="s">
        <v>112</v>
      </c>
      <c r="B7" s="819" t="s">
        <v>97</v>
      </c>
      <c r="C7" s="803" t="s">
        <v>20</v>
      </c>
      <c r="D7" s="804" t="s">
        <v>1</v>
      </c>
      <c r="E7" s="805"/>
      <c r="F7" s="803" t="s">
        <v>0</v>
      </c>
      <c r="G7" s="807" t="s">
        <v>111</v>
      </c>
      <c r="H7" s="821" t="s">
        <v>43</v>
      </c>
      <c r="I7" s="823" t="s">
        <v>250</v>
      </c>
      <c r="J7" s="824"/>
      <c r="K7" s="803" t="s">
        <v>151</v>
      </c>
      <c r="L7" s="806" t="s">
        <v>93</v>
      </c>
      <c r="M7" s="806"/>
      <c r="N7" s="822" t="s">
        <v>356</v>
      </c>
      <c r="O7" s="809" t="s">
        <v>46</v>
      </c>
      <c r="P7" s="810"/>
      <c r="Q7" s="811"/>
      <c r="R7" s="809" t="s">
        <v>50</v>
      </c>
      <c r="S7" s="810"/>
      <c r="T7" s="811"/>
      <c r="U7" s="800" t="s">
        <v>157</v>
      </c>
      <c r="V7" s="800"/>
      <c r="W7" s="800"/>
      <c r="X7" s="815" t="str">
        <f>CTTK!$E$7</f>
        <v>642</v>
      </c>
      <c r="Y7" s="800" t="s">
        <v>339</v>
      </c>
      <c r="Z7" s="501"/>
    </row>
    <row r="8" spans="1:26" ht="24.75" customHeight="1">
      <c r="A8" s="818"/>
      <c r="B8" s="820"/>
      <c r="C8" s="803"/>
      <c r="D8" s="118" t="s">
        <v>15</v>
      </c>
      <c r="E8" s="117" t="s">
        <v>31</v>
      </c>
      <c r="F8" s="803"/>
      <c r="G8" s="808"/>
      <c r="H8" s="821"/>
      <c r="I8" s="139" t="s">
        <v>195</v>
      </c>
      <c r="J8" s="139" t="s">
        <v>196</v>
      </c>
      <c r="K8" s="803"/>
      <c r="L8" s="119" t="s">
        <v>22</v>
      </c>
      <c r="M8" s="119" t="s">
        <v>23</v>
      </c>
      <c r="N8" s="816"/>
      <c r="O8" s="812"/>
      <c r="P8" s="813"/>
      <c r="Q8" s="814"/>
      <c r="R8" s="812"/>
      <c r="S8" s="813"/>
      <c r="T8" s="814"/>
      <c r="U8" s="800"/>
      <c r="V8" s="800"/>
      <c r="W8" s="800"/>
      <c r="X8" s="816"/>
      <c r="Y8" s="800"/>
      <c r="Z8" s="50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502"/>
    </row>
    <row r="10" spans="1:26" ht="15.75" hidden="1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267</v>
      </c>
      <c r="G10" s="19"/>
      <c r="H10" s="20"/>
      <c r="I10" s="131"/>
      <c r="J10" s="131"/>
      <c r="K10" s="21">
        <f>SUMIF(KHC,L10,TH)</f>
        <v>172771288</v>
      </c>
      <c r="L10" s="23" t="s">
        <v>350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03"/>
    </row>
    <row r="11" spans="1:26" ht="15.75" hidden="1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268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03"/>
    </row>
    <row r="12" spans="1:26" ht="15.75" hidden="1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269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253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03"/>
    </row>
    <row r="13" spans="1:26" ht="15.75" hidden="1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03"/>
    </row>
    <row r="14" spans="1:26" ht="15.75" hidden="1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03"/>
    </row>
    <row r="15" spans="1:26" ht="15.75" hidden="1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321</v>
      </c>
      <c r="G15" s="19"/>
      <c r="H15" s="20"/>
      <c r="I15" s="131"/>
      <c r="J15" s="131"/>
      <c r="K15" s="21">
        <f>SUMIF(KHC,L15,TH)</f>
        <v>1727712897</v>
      </c>
      <c r="L15" s="22" t="s">
        <v>168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03"/>
    </row>
    <row r="16" spans="1:26" ht="15.75" hidden="1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360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03"/>
    </row>
    <row r="17" spans="1:26" ht="15.75" hidden="1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343</v>
      </c>
      <c r="E17" s="105">
        <v>42516</v>
      </c>
      <c r="F17" s="109" t="s">
        <v>642</v>
      </c>
      <c r="G17" s="296"/>
      <c r="H17" s="4" t="s">
        <v>643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63"/>
    </row>
    <row r="18" spans="1:26" ht="15.75" hidden="1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450</v>
      </c>
      <c r="E18" s="105">
        <v>42516</v>
      </c>
      <c r="F18" s="109" t="s">
        <v>469</v>
      </c>
      <c r="G18" s="296" t="s">
        <v>472</v>
      </c>
      <c r="H18" s="4" t="s">
        <v>473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6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451</v>
      </c>
      <c r="E19" s="105">
        <v>42508</v>
      </c>
      <c r="F19" s="109" t="s">
        <v>415</v>
      </c>
      <c r="G19" s="296" t="s">
        <v>414</v>
      </c>
      <c r="H19" s="112" t="s">
        <v>413</v>
      </c>
      <c r="I19" s="133"/>
      <c r="J19" s="133"/>
      <c r="K19" s="401">
        <v>2160000</v>
      </c>
      <c r="L19" s="402" t="s">
        <v>82</v>
      </c>
      <c r="M19" s="402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6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451</v>
      </c>
      <c r="E20" s="105">
        <v>42508</v>
      </c>
      <c r="F20" s="109" t="s">
        <v>416</v>
      </c>
      <c r="G20" s="296" t="s">
        <v>414</v>
      </c>
      <c r="H20" s="112" t="s">
        <v>413</v>
      </c>
      <c r="I20" s="133"/>
      <c r="J20" s="133"/>
      <c r="K20" s="401">
        <v>216000</v>
      </c>
      <c r="L20" s="402" t="s">
        <v>9</v>
      </c>
      <c r="M20" s="402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6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468</v>
      </c>
      <c r="E21" s="105">
        <v>42516</v>
      </c>
      <c r="F21" s="109" t="s">
        <v>470</v>
      </c>
      <c r="G21" s="296" t="s">
        <v>472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6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468</v>
      </c>
      <c r="E22" s="105">
        <v>42516</v>
      </c>
      <c r="F22" s="109" t="s">
        <v>471</v>
      </c>
      <c r="G22" s="296" t="s">
        <v>472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6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452</v>
      </c>
      <c r="E23" s="105">
        <v>42508</v>
      </c>
      <c r="F23" s="109" t="s">
        <v>1091</v>
      </c>
      <c r="G23" s="296"/>
      <c r="H23" s="112" t="s">
        <v>1092</v>
      </c>
      <c r="I23" s="133"/>
      <c r="J23" s="133"/>
      <c r="K23" s="401">
        <v>1000000</v>
      </c>
      <c r="L23" s="402" t="s">
        <v>62</v>
      </c>
      <c r="M23" s="402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63"/>
    </row>
    <row r="24" spans="1:26" ht="15.75" hidden="1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323</v>
      </c>
      <c r="E24" s="105">
        <v>42508</v>
      </c>
      <c r="F24" s="109" t="s">
        <v>1093</v>
      </c>
      <c r="G24" s="296"/>
      <c r="H24" s="112" t="s">
        <v>1092</v>
      </c>
      <c r="I24" s="133"/>
      <c r="J24" s="133"/>
      <c r="K24" s="401">
        <v>1000000</v>
      </c>
      <c r="L24" s="402" t="s">
        <v>82</v>
      </c>
      <c r="M24" s="402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63"/>
    </row>
    <row r="25" spans="1:26" ht="15.75" hidden="1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400</v>
      </c>
      <c r="E25" s="105">
        <v>42529</v>
      </c>
      <c r="F25" s="109" t="s">
        <v>403</v>
      </c>
      <c r="G25" s="298" t="s">
        <v>373</v>
      </c>
      <c r="H25" s="4" t="s">
        <v>396</v>
      </c>
      <c r="I25" s="133">
        <v>10288</v>
      </c>
      <c r="J25" s="133">
        <v>7500</v>
      </c>
      <c r="K25" s="13">
        <f>ROUND(I25*J25,0)</f>
        <v>77160000</v>
      </c>
      <c r="L25" s="113" t="s">
        <v>153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63">
        <v>3</v>
      </c>
    </row>
    <row r="26" spans="1:26" ht="15.75" hidden="1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400</v>
      </c>
      <c r="E26" s="105">
        <v>42529</v>
      </c>
      <c r="F26" s="111" t="s">
        <v>374</v>
      </c>
      <c r="G26" s="298" t="s">
        <v>373</v>
      </c>
      <c r="H26" s="4" t="s">
        <v>396</v>
      </c>
      <c r="I26" s="133"/>
      <c r="J26" s="133"/>
      <c r="K26" s="401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6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455</v>
      </c>
      <c r="E27" s="105">
        <v>42532</v>
      </c>
      <c r="F27" s="109" t="s">
        <v>419</v>
      </c>
      <c r="G27" s="296" t="s">
        <v>418</v>
      </c>
      <c r="H27" s="112" t="s">
        <v>417</v>
      </c>
      <c r="I27" s="133"/>
      <c r="J27" s="133"/>
      <c r="K27" s="401">
        <v>3800000</v>
      </c>
      <c r="L27" s="402" t="s">
        <v>82</v>
      </c>
      <c r="M27" s="402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6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455</v>
      </c>
      <c r="E28" s="105">
        <v>42532</v>
      </c>
      <c r="F28" s="109" t="s">
        <v>420</v>
      </c>
      <c r="G28" s="296" t="s">
        <v>418</v>
      </c>
      <c r="H28" s="112" t="s">
        <v>417</v>
      </c>
      <c r="I28" s="133"/>
      <c r="J28" s="133"/>
      <c r="K28" s="13">
        <v>380000</v>
      </c>
      <c r="L28" s="402" t="s">
        <v>9</v>
      </c>
      <c r="M28" s="402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63">
        <v>3</v>
      </c>
    </row>
    <row r="29" spans="1:26" ht="15.75" hidden="1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401</v>
      </c>
      <c r="E29" s="105">
        <v>42542</v>
      </c>
      <c r="F29" s="109" t="s">
        <v>403</v>
      </c>
      <c r="G29" s="298" t="s">
        <v>404</v>
      </c>
      <c r="H29" s="4" t="s">
        <v>397</v>
      </c>
      <c r="I29" s="133">
        <v>4094</v>
      </c>
      <c r="J29" s="133">
        <v>7600</v>
      </c>
      <c r="K29" s="13">
        <f>ROUND(I29*J29,0)</f>
        <v>31114400</v>
      </c>
      <c r="L29" s="113" t="s">
        <v>153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63">
        <v>3</v>
      </c>
    </row>
    <row r="30" spans="1:26" ht="15.75" hidden="1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401</v>
      </c>
      <c r="E30" s="105">
        <v>42542</v>
      </c>
      <c r="F30" s="109" t="s">
        <v>405</v>
      </c>
      <c r="G30" s="298" t="s">
        <v>404</v>
      </c>
      <c r="H30" s="4" t="s">
        <v>397</v>
      </c>
      <c r="I30" s="133">
        <v>4522</v>
      </c>
      <c r="J30" s="133">
        <v>8500</v>
      </c>
      <c r="K30" s="13">
        <f>ROUND(I30*J30,0)</f>
        <v>38437000</v>
      </c>
      <c r="L30" s="113" t="s">
        <v>153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63">
        <v>3</v>
      </c>
    </row>
    <row r="31" spans="1:26" ht="15.75" hidden="1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401</v>
      </c>
      <c r="E31" s="105">
        <v>42542</v>
      </c>
      <c r="F31" s="109" t="s">
        <v>448</v>
      </c>
      <c r="G31" s="298" t="s">
        <v>404</v>
      </c>
      <c r="H31" s="4" t="s">
        <v>397</v>
      </c>
      <c r="I31" s="133">
        <v>2633</v>
      </c>
      <c r="J31" s="133">
        <v>8500</v>
      </c>
      <c r="K31" s="13">
        <f>ROUND(I31*J31,0)</f>
        <v>22380500</v>
      </c>
      <c r="L31" s="113" t="s">
        <v>153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63">
        <v>3</v>
      </c>
    </row>
    <row r="32" spans="1:26" ht="15.75" hidden="1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401</v>
      </c>
      <c r="E32" s="105">
        <v>42542</v>
      </c>
      <c r="F32" s="109" t="s">
        <v>398</v>
      </c>
      <c r="G32" s="298" t="s">
        <v>404</v>
      </c>
      <c r="H32" s="4" t="s">
        <v>397</v>
      </c>
      <c r="I32" s="133"/>
      <c r="J32" s="133"/>
      <c r="K32" s="401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63">
        <v>3</v>
      </c>
    </row>
    <row r="33" spans="1:26" ht="15.75" hidden="1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467</v>
      </c>
      <c r="E33" s="105">
        <v>42546</v>
      </c>
      <c r="F33" s="109" t="s">
        <v>474</v>
      </c>
      <c r="G33" s="296" t="s">
        <v>472</v>
      </c>
      <c r="H33" s="4"/>
      <c r="I33" s="133"/>
      <c r="J33" s="133"/>
      <c r="K33" s="401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6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468</v>
      </c>
      <c r="E34" s="105">
        <v>42546</v>
      </c>
      <c r="F34" s="109" t="s">
        <v>475</v>
      </c>
      <c r="G34" s="296" t="s">
        <v>472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6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468</v>
      </c>
      <c r="E35" s="105">
        <v>42546</v>
      </c>
      <c r="F35" s="109" t="s">
        <v>476</v>
      </c>
      <c r="G35" s="296" t="s">
        <v>472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63">
        <v>3</v>
      </c>
    </row>
    <row r="36" spans="1:26" ht="15.75" hidden="1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402</v>
      </c>
      <c r="E36" s="105">
        <v>42551</v>
      </c>
      <c r="F36" s="109" t="s">
        <v>403</v>
      </c>
      <c r="G36" s="298" t="s">
        <v>406</v>
      </c>
      <c r="H36" s="4" t="s">
        <v>397</v>
      </c>
      <c r="I36" s="133">
        <v>6226</v>
      </c>
      <c r="J36" s="133">
        <v>7600</v>
      </c>
      <c r="K36" s="13">
        <f>ROUND(I36*J36,0)</f>
        <v>47317600</v>
      </c>
      <c r="L36" s="113" t="s">
        <v>153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63">
        <v>3</v>
      </c>
    </row>
    <row r="37" spans="1:26" ht="15.75" hidden="1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402</v>
      </c>
      <c r="E37" s="105">
        <v>42551</v>
      </c>
      <c r="F37" s="109" t="s">
        <v>405</v>
      </c>
      <c r="G37" s="298" t="s">
        <v>406</v>
      </c>
      <c r="H37" s="4" t="s">
        <v>397</v>
      </c>
      <c r="I37" s="133">
        <v>8730</v>
      </c>
      <c r="J37" s="133">
        <v>8500</v>
      </c>
      <c r="K37" s="13">
        <f>ROUND(I37*J37,0)</f>
        <v>74205000</v>
      </c>
      <c r="L37" s="113" t="s">
        <v>153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63">
        <v>3</v>
      </c>
    </row>
    <row r="38" spans="1:26" ht="15.75" hidden="1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402</v>
      </c>
      <c r="E38" s="105">
        <v>42551</v>
      </c>
      <c r="F38" s="109" t="s">
        <v>448</v>
      </c>
      <c r="G38" s="298" t="s">
        <v>406</v>
      </c>
      <c r="H38" s="4" t="s">
        <v>397</v>
      </c>
      <c r="I38" s="133">
        <v>8191</v>
      </c>
      <c r="J38" s="133">
        <v>8500</v>
      </c>
      <c r="K38" s="13">
        <f>ROUND(I38*J38,0)</f>
        <v>69623500</v>
      </c>
      <c r="L38" s="113" t="s">
        <v>153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63">
        <v>3</v>
      </c>
    </row>
    <row r="39" spans="1:26" ht="15.75" hidden="1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402</v>
      </c>
      <c r="E39" s="105">
        <v>42551</v>
      </c>
      <c r="F39" s="111" t="s">
        <v>398</v>
      </c>
      <c r="G39" s="298" t="s">
        <v>406</v>
      </c>
      <c r="H39" s="4" t="s">
        <v>397</v>
      </c>
      <c r="I39" s="133"/>
      <c r="J39" s="133"/>
      <c r="K39" s="401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63">
        <v>3</v>
      </c>
    </row>
    <row r="40" spans="1:26" ht="15.75" hidden="1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57">
        <f t="shared" ref="C40:C103" si="3">E40</f>
        <v>42552</v>
      </c>
      <c r="D40" s="557" t="s">
        <v>323</v>
      </c>
      <c r="E40" s="557">
        <v>42552</v>
      </c>
      <c r="F40" s="560" t="s">
        <v>818</v>
      </c>
      <c r="G40" s="558"/>
      <c r="H40" s="577"/>
      <c r="I40" s="559"/>
      <c r="J40" s="559"/>
      <c r="K40" s="562">
        <v>13250000</v>
      </c>
      <c r="L40" s="578" t="s">
        <v>159</v>
      </c>
      <c r="M40" s="578" t="s">
        <v>252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79"/>
    </row>
    <row r="41" spans="1:26" ht="15.75" hidden="1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456</v>
      </c>
      <c r="E41" s="105">
        <v>42559</v>
      </c>
      <c r="F41" s="109" t="s">
        <v>469</v>
      </c>
      <c r="G41" s="296" t="s">
        <v>472</v>
      </c>
      <c r="H41" s="4" t="s">
        <v>473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6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468</v>
      </c>
      <c r="E42" s="105">
        <v>42559</v>
      </c>
      <c r="F42" s="109" t="s">
        <v>477</v>
      </c>
      <c r="G42" s="296" t="s">
        <v>472</v>
      </c>
      <c r="H42" s="112" t="s">
        <v>622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6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468</v>
      </c>
      <c r="E43" s="105">
        <v>42559</v>
      </c>
      <c r="F43" s="109" t="s">
        <v>478</v>
      </c>
      <c r="G43" s="296" t="s">
        <v>472</v>
      </c>
      <c r="H43" s="4"/>
      <c r="I43" s="133"/>
      <c r="J43" s="133"/>
      <c r="K43" s="401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6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468</v>
      </c>
      <c r="E44" s="105">
        <v>42559</v>
      </c>
      <c r="F44" s="109" t="s">
        <v>479</v>
      </c>
      <c r="G44" s="296" t="s">
        <v>472</v>
      </c>
      <c r="H44" s="4"/>
      <c r="I44" s="133"/>
      <c r="J44" s="133"/>
      <c r="K44" s="401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6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468</v>
      </c>
      <c r="E45" s="105">
        <v>42559</v>
      </c>
      <c r="F45" s="109" t="s">
        <v>480</v>
      </c>
      <c r="G45" s="296" t="s">
        <v>472</v>
      </c>
      <c r="H45" s="4"/>
      <c r="I45" s="133"/>
      <c r="J45" s="133"/>
      <c r="K45" s="401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6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468</v>
      </c>
      <c r="E46" s="105">
        <v>42559</v>
      </c>
      <c r="F46" s="109" t="s">
        <v>481</v>
      </c>
      <c r="G46" s="296" t="s">
        <v>472</v>
      </c>
      <c r="H46" s="4"/>
      <c r="I46" s="133"/>
      <c r="J46" s="133"/>
      <c r="K46" s="401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63">
        <v>3</v>
      </c>
    </row>
    <row r="47" spans="1:26" ht="15.75" hidden="1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400</v>
      </c>
      <c r="E47" s="105">
        <v>42563</v>
      </c>
      <c r="F47" s="109" t="s">
        <v>403</v>
      </c>
      <c r="G47" s="298" t="s">
        <v>449</v>
      </c>
      <c r="H47" s="4" t="s">
        <v>397</v>
      </c>
      <c r="I47" s="133">
        <v>11536</v>
      </c>
      <c r="J47" s="133">
        <v>7600</v>
      </c>
      <c r="K47" s="13">
        <f>ROUND(I47*J47,0)</f>
        <v>87673600</v>
      </c>
      <c r="L47" s="113" t="s">
        <v>153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63">
        <v>3</v>
      </c>
    </row>
    <row r="48" spans="1:26" ht="15.75" hidden="1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400</v>
      </c>
      <c r="E48" s="105">
        <v>42563</v>
      </c>
      <c r="F48" s="109" t="s">
        <v>447</v>
      </c>
      <c r="G48" s="298" t="s">
        <v>449</v>
      </c>
      <c r="H48" s="4" t="s">
        <v>397</v>
      </c>
      <c r="I48" s="133">
        <v>5979</v>
      </c>
      <c r="J48" s="133">
        <v>8900</v>
      </c>
      <c r="K48" s="13">
        <f>ROUND(I48*J48,0)</f>
        <v>53213100</v>
      </c>
      <c r="L48" s="113" t="s">
        <v>153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63">
        <v>3</v>
      </c>
    </row>
    <row r="49" spans="1:26" ht="15.75" hidden="1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400</v>
      </c>
      <c r="E49" s="105">
        <v>42563</v>
      </c>
      <c r="F49" s="109" t="s">
        <v>448</v>
      </c>
      <c r="G49" s="298" t="s">
        <v>449</v>
      </c>
      <c r="H49" s="4" t="s">
        <v>397</v>
      </c>
      <c r="I49" s="133">
        <v>4011</v>
      </c>
      <c r="J49" s="133">
        <v>8500</v>
      </c>
      <c r="K49" s="13">
        <f>ROUND(I49*J49,0)</f>
        <v>34093500</v>
      </c>
      <c r="L49" s="113" t="s">
        <v>153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63">
        <v>3</v>
      </c>
    </row>
    <row r="50" spans="1:26" ht="15.75" hidden="1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453</v>
      </c>
      <c r="E50" s="105">
        <v>42563</v>
      </c>
      <c r="F50" s="109" t="s">
        <v>398</v>
      </c>
      <c r="G50" s="298" t="s">
        <v>449</v>
      </c>
      <c r="H50" s="4" t="s">
        <v>397</v>
      </c>
      <c r="I50" s="133"/>
      <c r="J50" s="133"/>
      <c r="K50" s="401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63">
        <v>3</v>
      </c>
    </row>
    <row r="51" spans="1:26" ht="15.75" hidden="1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323</v>
      </c>
      <c r="E51" s="110">
        <v>42563</v>
      </c>
      <c r="F51" s="111" t="s">
        <v>345</v>
      </c>
      <c r="G51" s="298" t="s">
        <v>626</v>
      </c>
      <c r="H51" s="112" t="s">
        <v>986</v>
      </c>
      <c r="I51" s="133"/>
      <c r="J51" s="133"/>
      <c r="K51" s="13">
        <v>15000000</v>
      </c>
      <c r="L51" s="113" t="s">
        <v>163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63">
        <v>3</v>
      </c>
    </row>
    <row r="52" spans="1:26" ht="15.75" hidden="1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323</v>
      </c>
      <c r="E52" s="110">
        <v>42563</v>
      </c>
      <c r="F52" s="111" t="s">
        <v>346</v>
      </c>
      <c r="G52" s="298" t="s">
        <v>626</v>
      </c>
      <c r="H52" s="112" t="s">
        <v>986</v>
      </c>
      <c r="I52" s="133"/>
      <c r="J52" s="133"/>
      <c r="K52" s="13">
        <v>25000000</v>
      </c>
      <c r="L52" s="113" t="s">
        <v>163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63">
        <v>3</v>
      </c>
    </row>
    <row r="53" spans="1:26" ht="15.75" hidden="1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323</v>
      </c>
      <c r="E53" s="110">
        <v>42563</v>
      </c>
      <c r="F53" s="111" t="s">
        <v>347</v>
      </c>
      <c r="G53" s="298" t="s">
        <v>626</v>
      </c>
      <c r="H53" s="112" t="s">
        <v>986</v>
      </c>
      <c r="I53" s="133"/>
      <c r="J53" s="133"/>
      <c r="K53" s="13">
        <v>300000000</v>
      </c>
      <c r="L53" s="113" t="s">
        <v>163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63">
        <v>3</v>
      </c>
    </row>
    <row r="54" spans="1:26" ht="15.75" hidden="1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323</v>
      </c>
      <c r="E54" s="110">
        <v>42563</v>
      </c>
      <c r="F54" s="111" t="s">
        <v>627</v>
      </c>
      <c r="G54" s="298" t="s">
        <v>626</v>
      </c>
      <c r="H54" s="112" t="s">
        <v>986</v>
      </c>
      <c r="I54" s="133"/>
      <c r="J54" s="133"/>
      <c r="K54" s="13">
        <v>500000000</v>
      </c>
      <c r="L54" s="113" t="s">
        <v>163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63">
        <v>3</v>
      </c>
    </row>
    <row r="55" spans="1:26" ht="15.75" hidden="1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323</v>
      </c>
      <c r="E55" s="110">
        <v>42563</v>
      </c>
      <c r="F55" s="111" t="s">
        <v>628</v>
      </c>
      <c r="G55" s="298" t="s">
        <v>626</v>
      </c>
      <c r="H55" s="112" t="s">
        <v>986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6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457</v>
      </c>
      <c r="E56" s="105">
        <v>42566</v>
      </c>
      <c r="F56" s="109" t="s">
        <v>409</v>
      </c>
      <c r="G56" s="296" t="s">
        <v>408</v>
      </c>
      <c r="H56" s="112" t="s">
        <v>407</v>
      </c>
      <c r="I56" s="133"/>
      <c r="J56" s="133"/>
      <c r="K56" s="401">
        <v>1454545</v>
      </c>
      <c r="L56" s="402" t="s">
        <v>253</v>
      </c>
      <c r="M56" s="402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6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457</v>
      </c>
      <c r="E57" s="105">
        <v>42566</v>
      </c>
      <c r="F57" s="109" t="s">
        <v>410</v>
      </c>
      <c r="G57" s="296" t="s">
        <v>408</v>
      </c>
      <c r="H57" s="112" t="s">
        <v>407</v>
      </c>
      <c r="I57" s="133"/>
      <c r="J57" s="133"/>
      <c r="K57" s="401">
        <v>145455</v>
      </c>
      <c r="L57" s="402" t="s">
        <v>9</v>
      </c>
      <c r="M57" s="402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63">
        <v>3</v>
      </c>
    </row>
    <row r="58" spans="1:26" ht="15.75" hidden="1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550</v>
      </c>
      <c r="E58" s="110">
        <v>42566</v>
      </c>
      <c r="F58" s="111" t="s">
        <v>491</v>
      </c>
      <c r="G58" s="296" t="s">
        <v>697</v>
      </c>
      <c r="H58" s="17" t="s">
        <v>493</v>
      </c>
      <c r="I58" s="133">
        <v>73</v>
      </c>
      <c r="J58" s="133">
        <v>21849</v>
      </c>
      <c r="K58" s="13">
        <f>ROUND(I58*J58,0)</f>
        <v>1594977</v>
      </c>
      <c r="L58" s="113" t="s">
        <v>251</v>
      </c>
      <c r="M58" s="402" t="s">
        <v>168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63"/>
    </row>
    <row r="59" spans="1:26" ht="15.75" hidden="1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550</v>
      </c>
      <c r="E59" s="110">
        <v>42566</v>
      </c>
      <c r="F59" s="111" t="s">
        <v>492</v>
      </c>
      <c r="G59" s="296" t="s">
        <v>697</v>
      </c>
      <c r="H59" s="17" t="s">
        <v>493</v>
      </c>
      <c r="I59" s="133"/>
      <c r="J59" s="133"/>
      <c r="K59" s="13">
        <v>159497</v>
      </c>
      <c r="L59" s="113" t="s">
        <v>251</v>
      </c>
      <c r="M59" s="402" t="s">
        <v>350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63"/>
    </row>
    <row r="60" spans="1:26" ht="15.75" hidden="1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344</v>
      </c>
      <c r="E60" s="110">
        <v>42566</v>
      </c>
      <c r="F60" s="111" t="s">
        <v>482</v>
      </c>
      <c r="G60" s="296" t="s">
        <v>697</v>
      </c>
      <c r="H60" s="17" t="s">
        <v>493</v>
      </c>
      <c r="I60" s="133"/>
      <c r="J60" s="133"/>
      <c r="K60" s="13">
        <v>1754474</v>
      </c>
      <c r="L60" s="113" t="s">
        <v>46</v>
      </c>
      <c r="M60" s="402" t="s">
        <v>251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63"/>
    </row>
    <row r="61" spans="1:26" ht="15.75" hidden="1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551</v>
      </c>
      <c r="E61" s="110">
        <v>42566</v>
      </c>
      <c r="F61" s="109" t="s">
        <v>495</v>
      </c>
      <c r="G61" s="296" t="s">
        <v>698</v>
      </c>
      <c r="H61" s="4" t="s">
        <v>367</v>
      </c>
      <c r="I61" s="133">
        <v>100</v>
      </c>
      <c r="J61" s="133">
        <v>10000</v>
      </c>
      <c r="K61" s="13">
        <f>ROUND(I61*J61,0)</f>
        <v>1000000</v>
      </c>
      <c r="L61" s="113" t="s">
        <v>251</v>
      </c>
      <c r="M61" s="402" t="s">
        <v>168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63"/>
    </row>
    <row r="62" spans="1:26" ht="15.75" hidden="1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551</v>
      </c>
      <c r="E62" s="110">
        <v>42566</v>
      </c>
      <c r="F62" s="109" t="s">
        <v>496</v>
      </c>
      <c r="G62" s="296" t="s">
        <v>698</v>
      </c>
      <c r="H62" s="4" t="s">
        <v>367</v>
      </c>
      <c r="I62" s="133">
        <v>116</v>
      </c>
      <c r="J62" s="133">
        <v>73100</v>
      </c>
      <c r="K62" s="13">
        <f>ROUND(I62*J62,0)</f>
        <v>8479600</v>
      </c>
      <c r="L62" s="113" t="s">
        <v>251</v>
      </c>
      <c r="M62" s="402" t="s">
        <v>168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63"/>
    </row>
    <row r="63" spans="1:26" ht="15.75" hidden="1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551</v>
      </c>
      <c r="E63" s="110">
        <v>42566</v>
      </c>
      <c r="F63" s="109" t="s">
        <v>494</v>
      </c>
      <c r="G63" s="296" t="s">
        <v>698</v>
      </c>
      <c r="H63" s="4" t="s">
        <v>367</v>
      </c>
      <c r="I63" s="133"/>
      <c r="J63" s="133"/>
      <c r="K63" s="13">
        <v>947960</v>
      </c>
      <c r="L63" s="113" t="s">
        <v>251</v>
      </c>
      <c r="M63" s="402" t="s">
        <v>350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63"/>
    </row>
    <row r="64" spans="1:26" ht="15.75" hidden="1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348</v>
      </c>
      <c r="E64" s="110">
        <v>42566</v>
      </c>
      <c r="F64" s="111" t="s">
        <v>482</v>
      </c>
      <c r="G64" s="296" t="s">
        <v>698</v>
      </c>
      <c r="H64" s="4" t="s">
        <v>367</v>
      </c>
      <c r="I64" s="133"/>
      <c r="J64" s="133"/>
      <c r="K64" s="13">
        <v>10427560</v>
      </c>
      <c r="L64" s="113" t="s">
        <v>46</v>
      </c>
      <c r="M64" s="402" t="s">
        <v>251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63"/>
    </row>
    <row r="65" spans="1:26" ht="15.75" hidden="1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552</v>
      </c>
      <c r="E65" s="110">
        <v>42566</v>
      </c>
      <c r="F65" s="109" t="s">
        <v>497</v>
      </c>
      <c r="G65" s="296" t="s">
        <v>699</v>
      </c>
      <c r="H65" s="4" t="s">
        <v>369</v>
      </c>
      <c r="I65" s="133">
        <v>220</v>
      </c>
      <c r="J65" s="133">
        <v>28000</v>
      </c>
      <c r="K65" s="13">
        <f>ROUND(I65*J65,0)</f>
        <v>6160000</v>
      </c>
      <c r="L65" s="113" t="s">
        <v>251</v>
      </c>
      <c r="M65" s="402" t="s">
        <v>168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63"/>
    </row>
    <row r="66" spans="1:26" ht="15.75" hidden="1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552</v>
      </c>
      <c r="E66" s="110">
        <v>42566</v>
      </c>
      <c r="F66" s="109" t="s">
        <v>498</v>
      </c>
      <c r="G66" s="296" t="s">
        <v>699</v>
      </c>
      <c r="H66" s="4" t="s">
        <v>369</v>
      </c>
      <c r="I66" s="133">
        <v>357</v>
      </c>
      <c r="J66" s="133">
        <v>9600</v>
      </c>
      <c r="K66" s="13">
        <f>ROUND(I66*J66,0)</f>
        <v>3427200</v>
      </c>
      <c r="L66" s="113" t="s">
        <v>251</v>
      </c>
      <c r="M66" s="402" t="s">
        <v>168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63"/>
    </row>
    <row r="67" spans="1:26" ht="15.75" hidden="1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552</v>
      </c>
      <c r="E67" s="110">
        <v>42566</v>
      </c>
      <c r="F67" s="109" t="s">
        <v>499</v>
      </c>
      <c r="G67" s="296" t="s">
        <v>699</v>
      </c>
      <c r="H67" s="4" t="s">
        <v>369</v>
      </c>
      <c r="I67" s="133">
        <v>70</v>
      </c>
      <c r="J67" s="133">
        <v>14400</v>
      </c>
      <c r="K67" s="13">
        <f>ROUND(I67*J67,0)</f>
        <v>1008000</v>
      </c>
      <c r="L67" s="113" t="s">
        <v>251</v>
      </c>
      <c r="M67" s="402" t="s">
        <v>168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63"/>
    </row>
    <row r="68" spans="1:26" ht="15.75" hidden="1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552</v>
      </c>
      <c r="E68" s="110">
        <v>42567</v>
      </c>
      <c r="F68" s="109" t="s">
        <v>494</v>
      </c>
      <c r="G68" s="296" t="s">
        <v>699</v>
      </c>
      <c r="H68" s="4" t="s">
        <v>369</v>
      </c>
      <c r="I68" s="133"/>
      <c r="J68" s="133"/>
      <c r="K68" s="13">
        <v>1059520</v>
      </c>
      <c r="L68" s="113" t="s">
        <v>251</v>
      </c>
      <c r="M68" s="402" t="s">
        <v>350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63"/>
    </row>
    <row r="69" spans="1:26" ht="15.75" hidden="1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553</v>
      </c>
      <c r="E69" s="110">
        <v>42567</v>
      </c>
      <c r="F69" s="109" t="s">
        <v>500</v>
      </c>
      <c r="G69" s="296" t="s">
        <v>700</v>
      </c>
      <c r="H69" s="4" t="s">
        <v>365</v>
      </c>
      <c r="I69" s="133">
        <v>300</v>
      </c>
      <c r="J69" s="133">
        <v>13400</v>
      </c>
      <c r="K69" s="13">
        <f>ROUND(I69*J69,0)</f>
        <v>4020000</v>
      </c>
      <c r="L69" s="113" t="s">
        <v>251</v>
      </c>
      <c r="M69" s="402" t="s">
        <v>168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63"/>
    </row>
    <row r="70" spans="1:26" ht="15.75" hidden="1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553</v>
      </c>
      <c r="E70" s="110">
        <v>42567</v>
      </c>
      <c r="F70" s="109" t="s">
        <v>500</v>
      </c>
      <c r="G70" s="296" t="s">
        <v>700</v>
      </c>
      <c r="H70" s="4" t="s">
        <v>365</v>
      </c>
      <c r="I70" s="133">
        <v>500</v>
      </c>
      <c r="J70" s="133">
        <v>13800</v>
      </c>
      <c r="K70" s="13">
        <f>ROUND(I70*J70,0)</f>
        <v>6900000</v>
      </c>
      <c r="L70" s="113" t="s">
        <v>251</v>
      </c>
      <c r="M70" s="402" t="s">
        <v>168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63"/>
    </row>
    <row r="71" spans="1:26" ht="15.75" hidden="1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553</v>
      </c>
      <c r="E71" s="110">
        <v>42567</v>
      </c>
      <c r="F71" s="109" t="s">
        <v>375</v>
      </c>
      <c r="G71" s="296" t="s">
        <v>700</v>
      </c>
      <c r="H71" s="4" t="s">
        <v>365</v>
      </c>
      <c r="I71" s="133">
        <v>1600</v>
      </c>
      <c r="J71" s="133">
        <v>1300</v>
      </c>
      <c r="K71" s="13">
        <f>ROUND(I71*J71,0)</f>
        <v>2080000</v>
      </c>
      <c r="L71" s="113" t="s">
        <v>251</v>
      </c>
      <c r="M71" s="402" t="s">
        <v>168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63"/>
    </row>
    <row r="72" spans="1:26" ht="15.75" hidden="1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553</v>
      </c>
      <c r="E72" s="110">
        <v>42567</v>
      </c>
      <c r="F72" s="109" t="s">
        <v>494</v>
      </c>
      <c r="G72" s="296" t="s">
        <v>700</v>
      </c>
      <c r="H72" s="4" t="s">
        <v>365</v>
      </c>
      <c r="I72" s="133"/>
      <c r="J72" s="133"/>
      <c r="K72" s="13">
        <v>1300000</v>
      </c>
      <c r="L72" s="113" t="s">
        <v>251</v>
      </c>
      <c r="M72" s="402" t="s">
        <v>350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63"/>
    </row>
    <row r="73" spans="1:26" ht="15.75" hidden="1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554</v>
      </c>
      <c r="E73" s="110">
        <v>42567</v>
      </c>
      <c r="F73" s="109" t="s">
        <v>501</v>
      </c>
      <c r="G73" s="296" t="s">
        <v>701</v>
      </c>
      <c r="H73" s="4" t="s">
        <v>366</v>
      </c>
      <c r="I73" s="133">
        <v>1005</v>
      </c>
      <c r="J73" s="133">
        <v>11000</v>
      </c>
      <c r="K73" s="13">
        <f>ROUND(I73*J73,0)</f>
        <v>11055000</v>
      </c>
      <c r="L73" s="113" t="s">
        <v>251</v>
      </c>
      <c r="M73" s="402" t="s">
        <v>168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63"/>
    </row>
    <row r="74" spans="1:26" ht="15.75" hidden="1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554</v>
      </c>
      <c r="E74" s="110">
        <v>42567</v>
      </c>
      <c r="F74" s="109" t="s">
        <v>494</v>
      </c>
      <c r="G74" s="296" t="s">
        <v>701</v>
      </c>
      <c r="H74" s="4" t="s">
        <v>366</v>
      </c>
      <c r="I74" s="133"/>
      <c r="J74" s="133"/>
      <c r="K74" s="13">
        <v>1105500</v>
      </c>
      <c r="L74" s="113" t="s">
        <v>251</v>
      </c>
      <c r="M74" s="402" t="s">
        <v>350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63"/>
    </row>
    <row r="75" spans="1:26" ht="15.75" hidden="1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555</v>
      </c>
      <c r="E75" s="110">
        <v>42569</v>
      </c>
      <c r="F75" s="109" t="s">
        <v>502</v>
      </c>
      <c r="G75" s="296" t="s">
        <v>702</v>
      </c>
      <c r="H75" s="4" t="s">
        <v>615</v>
      </c>
      <c r="I75" s="133">
        <v>254</v>
      </c>
      <c r="J75" s="133">
        <v>10300</v>
      </c>
      <c r="K75" s="13">
        <f>ROUND(I75*J75,0)</f>
        <v>2616200</v>
      </c>
      <c r="L75" s="113" t="s">
        <v>251</v>
      </c>
      <c r="M75" s="402" t="s">
        <v>168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63"/>
    </row>
    <row r="76" spans="1:26" ht="15.75" hidden="1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555</v>
      </c>
      <c r="E76" s="110">
        <v>42569</v>
      </c>
      <c r="F76" s="109" t="s">
        <v>494</v>
      </c>
      <c r="G76" s="296" t="s">
        <v>702</v>
      </c>
      <c r="H76" s="4" t="s">
        <v>615</v>
      </c>
      <c r="I76" s="133"/>
      <c r="J76" s="133"/>
      <c r="K76" s="13">
        <v>261620</v>
      </c>
      <c r="L76" s="113" t="s">
        <v>251</v>
      </c>
      <c r="M76" s="402" t="s">
        <v>350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63"/>
    </row>
    <row r="77" spans="1:26" ht="15.75" hidden="1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641</v>
      </c>
      <c r="E77" s="110">
        <v>42569</v>
      </c>
      <c r="F77" s="111" t="s">
        <v>482</v>
      </c>
      <c r="G77" s="296" t="s">
        <v>702</v>
      </c>
      <c r="H77" s="4" t="s">
        <v>615</v>
      </c>
      <c r="I77" s="133"/>
      <c r="J77" s="133"/>
      <c r="K77" s="13">
        <v>2877820</v>
      </c>
      <c r="L77" s="113" t="s">
        <v>46</v>
      </c>
      <c r="M77" s="402" t="s">
        <v>251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63"/>
    </row>
    <row r="78" spans="1:26" ht="15.75" hidden="1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556</v>
      </c>
      <c r="E78" s="110">
        <v>42569</v>
      </c>
      <c r="F78" s="109" t="s">
        <v>503</v>
      </c>
      <c r="G78" s="296" t="s">
        <v>703</v>
      </c>
      <c r="H78" s="4" t="s">
        <v>615</v>
      </c>
      <c r="I78" s="133">
        <v>75</v>
      </c>
      <c r="J78" s="133">
        <v>10800</v>
      </c>
      <c r="K78" s="13">
        <f>ROUND(I78*J78,0)</f>
        <v>810000</v>
      </c>
      <c r="L78" s="113" t="s">
        <v>251</v>
      </c>
      <c r="M78" s="402" t="s">
        <v>168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63"/>
    </row>
    <row r="79" spans="1:26" ht="15.75" hidden="1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556</v>
      </c>
      <c r="E79" s="110">
        <v>42569</v>
      </c>
      <c r="F79" s="109" t="s">
        <v>494</v>
      </c>
      <c r="G79" s="296" t="s">
        <v>703</v>
      </c>
      <c r="H79" s="4" t="s">
        <v>615</v>
      </c>
      <c r="I79" s="133"/>
      <c r="J79" s="133"/>
      <c r="K79" s="13">
        <v>81000</v>
      </c>
      <c r="L79" s="113" t="s">
        <v>251</v>
      </c>
      <c r="M79" s="402" t="s">
        <v>350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63"/>
    </row>
    <row r="80" spans="1:26" ht="15.75" hidden="1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987</v>
      </c>
      <c r="E80" s="110">
        <v>42569</v>
      </c>
      <c r="F80" s="111" t="s">
        <v>482</v>
      </c>
      <c r="G80" s="296" t="s">
        <v>703</v>
      </c>
      <c r="H80" s="4" t="s">
        <v>615</v>
      </c>
      <c r="I80" s="133"/>
      <c r="J80" s="133"/>
      <c r="K80" s="13">
        <v>891000</v>
      </c>
      <c r="L80" s="113" t="s">
        <v>46</v>
      </c>
      <c r="M80" s="402" t="s">
        <v>251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63"/>
    </row>
    <row r="81" spans="1:26" ht="15.75" hidden="1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557</v>
      </c>
      <c r="E81" s="110">
        <v>42571</v>
      </c>
      <c r="F81" s="109" t="s">
        <v>506</v>
      </c>
      <c r="G81" s="296" t="s">
        <v>704</v>
      </c>
      <c r="H81" s="4" t="s">
        <v>504</v>
      </c>
      <c r="I81" s="133">
        <v>500</v>
      </c>
      <c r="J81" s="133">
        <v>3200</v>
      </c>
      <c r="K81" s="13">
        <f>ROUND(I81*J81,0)</f>
        <v>1600000</v>
      </c>
      <c r="L81" s="113" t="s">
        <v>251</v>
      </c>
      <c r="M81" s="402" t="s">
        <v>168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63"/>
    </row>
    <row r="82" spans="1:26" ht="15.75" hidden="1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557</v>
      </c>
      <c r="E82" s="110">
        <v>42571</v>
      </c>
      <c r="F82" s="109" t="s">
        <v>507</v>
      </c>
      <c r="G82" s="296" t="s">
        <v>704</v>
      </c>
      <c r="H82" s="4" t="s">
        <v>504</v>
      </c>
      <c r="I82" s="133">
        <v>300</v>
      </c>
      <c r="J82" s="133">
        <v>2200</v>
      </c>
      <c r="K82" s="13">
        <f>ROUND(I82*J82,0)</f>
        <v>660000</v>
      </c>
      <c r="L82" s="113" t="s">
        <v>251</v>
      </c>
      <c r="M82" s="402" t="s">
        <v>168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63"/>
    </row>
    <row r="83" spans="1:26" ht="15.75" hidden="1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557</v>
      </c>
      <c r="E83" s="110">
        <v>42571</v>
      </c>
      <c r="F83" s="109" t="s">
        <v>505</v>
      </c>
      <c r="G83" s="296" t="s">
        <v>704</v>
      </c>
      <c r="H83" s="4" t="s">
        <v>504</v>
      </c>
      <c r="I83" s="133"/>
      <c r="J83" s="133"/>
      <c r="K83" s="13">
        <v>226000</v>
      </c>
      <c r="L83" s="113" t="s">
        <v>251</v>
      </c>
      <c r="M83" s="402" t="s">
        <v>350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63"/>
    </row>
    <row r="84" spans="1:26" ht="15.75" hidden="1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988</v>
      </c>
      <c r="E84" s="110">
        <v>42571</v>
      </c>
      <c r="F84" s="111" t="s">
        <v>482</v>
      </c>
      <c r="G84" s="296" t="s">
        <v>704</v>
      </c>
      <c r="H84" s="4" t="s">
        <v>504</v>
      </c>
      <c r="I84" s="133"/>
      <c r="J84" s="133"/>
      <c r="K84" s="13">
        <v>2486000</v>
      </c>
      <c r="L84" s="113" t="s">
        <v>46</v>
      </c>
      <c r="M84" s="402" t="s">
        <v>251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63"/>
    </row>
    <row r="85" spans="1:26" ht="15.75" hidden="1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558</v>
      </c>
      <c r="E85" s="110">
        <v>42571</v>
      </c>
      <c r="F85" s="109" t="s">
        <v>508</v>
      </c>
      <c r="G85" s="296" t="s">
        <v>705</v>
      </c>
      <c r="H85" s="4" t="s">
        <v>688</v>
      </c>
      <c r="I85" s="133">
        <v>1559</v>
      </c>
      <c r="J85" s="133">
        <v>5900</v>
      </c>
      <c r="K85" s="13">
        <f>ROUND(I85*J85,0)</f>
        <v>9198100</v>
      </c>
      <c r="L85" s="113" t="s">
        <v>251</v>
      </c>
      <c r="M85" s="402" t="s">
        <v>168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63"/>
    </row>
    <row r="86" spans="1:26" ht="15.75" hidden="1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558</v>
      </c>
      <c r="E86" s="110">
        <v>42571</v>
      </c>
      <c r="F86" s="109" t="s">
        <v>494</v>
      </c>
      <c r="G86" s="296" t="s">
        <v>705</v>
      </c>
      <c r="H86" s="4" t="s">
        <v>688</v>
      </c>
      <c r="I86" s="133"/>
      <c r="J86" s="133"/>
      <c r="K86" s="13">
        <v>919810</v>
      </c>
      <c r="L86" s="113" t="s">
        <v>251</v>
      </c>
      <c r="M86" s="402" t="s">
        <v>350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63"/>
    </row>
    <row r="87" spans="1:26" ht="15.75" hidden="1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559</v>
      </c>
      <c r="E87" s="110">
        <v>42572</v>
      </c>
      <c r="F87" s="109" t="s">
        <v>510</v>
      </c>
      <c r="G87" s="296" t="s">
        <v>706</v>
      </c>
      <c r="H87" s="4" t="s">
        <v>616</v>
      </c>
      <c r="I87" s="133">
        <v>102</v>
      </c>
      <c r="J87" s="133">
        <v>7900</v>
      </c>
      <c r="K87" s="13">
        <f>ROUND(I87*J87,0)</f>
        <v>805800</v>
      </c>
      <c r="L87" s="113" t="s">
        <v>251</v>
      </c>
      <c r="M87" s="402" t="s">
        <v>168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63"/>
    </row>
    <row r="88" spans="1:26" ht="15.75" hidden="1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559</v>
      </c>
      <c r="E88" s="110">
        <v>42572</v>
      </c>
      <c r="F88" s="109" t="s">
        <v>509</v>
      </c>
      <c r="G88" s="296" t="s">
        <v>706</v>
      </c>
      <c r="H88" s="4" t="s">
        <v>616</v>
      </c>
      <c r="I88" s="133">
        <v>103</v>
      </c>
      <c r="J88" s="133">
        <v>12900</v>
      </c>
      <c r="K88" s="13">
        <f>ROUND(I88*J88,0)</f>
        <v>1328700</v>
      </c>
      <c r="L88" s="113" t="s">
        <v>251</v>
      </c>
      <c r="M88" s="402" t="s">
        <v>168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63"/>
    </row>
    <row r="89" spans="1:26" ht="15.75" hidden="1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559</v>
      </c>
      <c r="E89" s="110">
        <v>42572</v>
      </c>
      <c r="F89" s="109" t="s">
        <v>494</v>
      </c>
      <c r="G89" s="296" t="s">
        <v>706</v>
      </c>
      <c r="H89" s="4" t="s">
        <v>616</v>
      </c>
      <c r="I89" s="133"/>
      <c r="J89" s="133"/>
      <c r="K89" s="13">
        <v>213450</v>
      </c>
      <c r="L89" s="113" t="s">
        <v>251</v>
      </c>
      <c r="M89" s="402" t="s">
        <v>350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63"/>
    </row>
    <row r="90" spans="1:26" ht="15.75" hidden="1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560</v>
      </c>
      <c r="E90" s="110">
        <v>42573</v>
      </c>
      <c r="F90" s="109" t="s">
        <v>644</v>
      </c>
      <c r="G90" s="296" t="s">
        <v>707</v>
      </c>
      <c r="H90" s="4" t="s">
        <v>370</v>
      </c>
      <c r="I90" s="133">
        <v>250</v>
      </c>
      <c r="J90" s="133">
        <v>12400</v>
      </c>
      <c r="K90" s="13">
        <f>ROUND(I90*J90,0)</f>
        <v>3100000</v>
      </c>
      <c r="L90" s="113" t="s">
        <v>251</v>
      </c>
      <c r="M90" s="402" t="s">
        <v>168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63"/>
    </row>
    <row r="91" spans="1:26" ht="15.75" hidden="1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560</v>
      </c>
      <c r="E91" s="110">
        <v>42573</v>
      </c>
      <c r="F91" s="109" t="s">
        <v>645</v>
      </c>
      <c r="G91" s="296" t="s">
        <v>707</v>
      </c>
      <c r="H91" s="4" t="s">
        <v>370</v>
      </c>
      <c r="I91" s="133">
        <v>200</v>
      </c>
      <c r="J91" s="133">
        <v>14200</v>
      </c>
      <c r="K91" s="13">
        <f>ROUND(I91*J91,0)</f>
        <v>2840000</v>
      </c>
      <c r="L91" s="113" t="s">
        <v>251</v>
      </c>
      <c r="M91" s="402" t="s">
        <v>168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63"/>
    </row>
    <row r="92" spans="1:26" ht="15.75" hidden="1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560</v>
      </c>
      <c r="E92" s="110">
        <v>42573</v>
      </c>
      <c r="F92" s="109" t="s">
        <v>646</v>
      </c>
      <c r="G92" s="296" t="s">
        <v>707</v>
      </c>
      <c r="H92" s="4" t="s">
        <v>370</v>
      </c>
      <c r="I92" s="133">
        <v>300</v>
      </c>
      <c r="J92" s="133">
        <v>16500</v>
      </c>
      <c r="K92" s="13">
        <f>ROUND(I92*J92,0)</f>
        <v>4950000</v>
      </c>
      <c r="L92" s="113" t="s">
        <v>251</v>
      </c>
      <c r="M92" s="402" t="s">
        <v>168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63"/>
    </row>
    <row r="93" spans="1:26" ht="15.75" hidden="1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560</v>
      </c>
      <c r="E93" s="110">
        <v>42573</v>
      </c>
      <c r="F93" s="109" t="s">
        <v>647</v>
      </c>
      <c r="G93" s="296" t="s">
        <v>707</v>
      </c>
      <c r="H93" s="4" t="s">
        <v>370</v>
      </c>
      <c r="I93" s="133">
        <v>300</v>
      </c>
      <c r="J93" s="133">
        <v>24500</v>
      </c>
      <c r="K93" s="13">
        <f>ROUND(I93*J93,0)</f>
        <v>7350000</v>
      </c>
      <c r="L93" s="113" t="s">
        <v>251</v>
      </c>
      <c r="M93" s="402" t="s">
        <v>168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63"/>
    </row>
    <row r="94" spans="1:26" ht="15.75" hidden="1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560</v>
      </c>
      <c r="E94" s="110">
        <v>42573</v>
      </c>
      <c r="F94" s="109" t="s">
        <v>817</v>
      </c>
      <c r="G94" s="296" t="s">
        <v>707</v>
      </c>
      <c r="H94" s="4" t="s">
        <v>370</v>
      </c>
      <c r="I94" s="133">
        <v>200</v>
      </c>
      <c r="J94" s="133">
        <v>25500</v>
      </c>
      <c r="K94" s="13">
        <f>ROUND(I94*J94,0)</f>
        <v>5100000</v>
      </c>
      <c r="L94" s="113" t="s">
        <v>251</v>
      </c>
      <c r="M94" s="402" t="s">
        <v>168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63"/>
    </row>
    <row r="95" spans="1:26" ht="15.75" hidden="1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560</v>
      </c>
      <c r="E95" s="110">
        <v>42573</v>
      </c>
      <c r="F95" s="109" t="s">
        <v>494</v>
      </c>
      <c r="G95" s="296" t="s">
        <v>707</v>
      </c>
      <c r="H95" s="4" t="s">
        <v>370</v>
      </c>
      <c r="I95" s="133"/>
      <c r="J95" s="133"/>
      <c r="K95" s="13">
        <v>2334000</v>
      </c>
      <c r="L95" s="113" t="s">
        <v>251</v>
      </c>
      <c r="M95" s="402" t="s">
        <v>350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63"/>
    </row>
    <row r="96" spans="1:26" ht="15.75" hidden="1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561</v>
      </c>
      <c r="E96" s="110">
        <v>42574</v>
      </c>
      <c r="F96" s="109" t="s">
        <v>653</v>
      </c>
      <c r="G96" s="296" t="s">
        <v>708</v>
      </c>
      <c r="H96" s="4" t="s">
        <v>369</v>
      </c>
      <c r="I96" s="133">
        <v>530</v>
      </c>
      <c r="J96" s="133">
        <v>17800</v>
      </c>
      <c r="K96" s="13">
        <f>ROUND(I96*J96,0)</f>
        <v>9434000</v>
      </c>
      <c r="L96" s="113" t="s">
        <v>251</v>
      </c>
      <c r="M96" s="402" t="s">
        <v>168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63"/>
    </row>
    <row r="97" spans="1:26" ht="15.75" hidden="1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561</v>
      </c>
      <c r="E97" s="110">
        <v>42574</v>
      </c>
      <c r="F97" s="109" t="s">
        <v>498</v>
      </c>
      <c r="G97" s="296" t="s">
        <v>708</v>
      </c>
      <c r="H97" s="4" t="s">
        <v>369</v>
      </c>
      <c r="I97" s="133">
        <v>33</v>
      </c>
      <c r="J97" s="133">
        <v>9600</v>
      </c>
      <c r="K97" s="13">
        <f>ROUND(I97*J97,0)</f>
        <v>316800</v>
      </c>
      <c r="L97" s="113" t="s">
        <v>251</v>
      </c>
      <c r="M97" s="402" t="s">
        <v>168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63"/>
    </row>
    <row r="98" spans="1:26" ht="15.75" hidden="1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561</v>
      </c>
      <c r="E98" s="110">
        <v>42574</v>
      </c>
      <c r="F98" s="109" t="s">
        <v>654</v>
      </c>
      <c r="G98" s="296" t="s">
        <v>708</v>
      </c>
      <c r="H98" s="4" t="s">
        <v>369</v>
      </c>
      <c r="I98" s="133">
        <v>630</v>
      </c>
      <c r="J98" s="133">
        <v>9700</v>
      </c>
      <c r="K98" s="13">
        <f>ROUND(I98*J98,0)</f>
        <v>6111000</v>
      </c>
      <c r="L98" s="113" t="s">
        <v>251</v>
      </c>
      <c r="M98" s="402" t="s">
        <v>168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63"/>
    </row>
    <row r="99" spans="1:26" ht="15.75" hidden="1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561</v>
      </c>
      <c r="E99" s="110">
        <v>42574</v>
      </c>
      <c r="F99" s="109" t="s">
        <v>660</v>
      </c>
      <c r="G99" s="296" t="s">
        <v>708</v>
      </c>
      <c r="H99" s="4" t="s">
        <v>369</v>
      </c>
      <c r="I99" s="133">
        <v>352</v>
      </c>
      <c r="J99" s="133">
        <v>13700</v>
      </c>
      <c r="K99" s="13">
        <f>ROUND(I99*J99,0)</f>
        <v>4822400</v>
      </c>
      <c r="L99" s="113" t="s">
        <v>251</v>
      </c>
      <c r="M99" s="402" t="s">
        <v>168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63"/>
    </row>
    <row r="100" spans="1:26" ht="15.75" hidden="1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561</v>
      </c>
      <c r="E100" s="110">
        <v>42574</v>
      </c>
      <c r="F100" s="109" t="s">
        <v>494</v>
      </c>
      <c r="G100" s="296" t="s">
        <v>708</v>
      </c>
      <c r="H100" s="4" t="s">
        <v>369</v>
      </c>
      <c r="I100" s="133"/>
      <c r="J100" s="133"/>
      <c r="K100" s="13">
        <v>2068420</v>
      </c>
      <c r="L100" s="113" t="s">
        <v>251</v>
      </c>
      <c r="M100" s="402" t="s">
        <v>350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63"/>
    </row>
    <row r="101" spans="1:26" ht="15.75" hidden="1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562</v>
      </c>
      <c r="E101" s="110">
        <v>42574</v>
      </c>
      <c r="F101" s="109" t="s">
        <v>511</v>
      </c>
      <c r="G101" s="296" t="s">
        <v>709</v>
      </c>
      <c r="H101" s="4" t="s">
        <v>617</v>
      </c>
      <c r="I101" s="133">
        <v>350</v>
      </c>
      <c r="J101" s="133">
        <v>13600</v>
      </c>
      <c r="K101" s="13">
        <f>ROUND(I101*J101,0)</f>
        <v>4760000</v>
      </c>
      <c r="L101" s="113" t="s">
        <v>251</v>
      </c>
      <c r="M101" s="402" t="s">
        <v>168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63"/>
    </row>
    <row r="102" spans="1:26" ht="15.75" hidden="1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562</v>
      </c>
      <c r="E102" s="110">
        <v>42574</v>
      </c>
      <c r="F102" s="109" t="s">
        <v>494</v>
      </c>
      <c r="G102" s="296" t="s">
        <v>709</v>
      </c>
      <c r="H102" s="4" t="s">
        <v>617</v>
      </c>
      <c r="I102" s="133"/>
      <c r="J102" s="133"/>
      <c r="K102" s="13">
        <v>476000</v>
      </c>
      <c r="L102" s="113" t="s">
        <v>251</v>
      </c>
      <c r="M102" s="402" t="s">
        <v>350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63"/>
    </row>
    <row r="103" spans="1:26" ht="15.75" hidden="1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989</v>
      </c>
      <c r="E103" s="110">
        <v>42574</v>
      </c>
      <c r="F103" s="111" t="s">
        <v>482</v>
      </c>
      <c r="G103" s="296" t="s">
        <v>709</v>
      </c>
      <c r="H103" s="4" t="s">
        <v>617</v>
      </c>
      <c r="I103" s="133"/>
      <c r="J103" s="133"/>
      <c r="K103" s="13">
        <v>5236000</v>
      </c>
      <c r="L103" s="113" t="s">
        <v>46</v>
      </c>
      <c r="M103" s="402" t="s">
        <v>251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64"/>
    </row>
    <row r="104" spans="1:26" ht="15.75" hidden="1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468</v>
      </c>
      <c r="E104" s="105">
        <v>42576</v>
      </c>
      <c r="F104" s="109" t="s">
        <v>474</v>
      </c>
      <c r="G104" s="296" t="s">
        <v>472</v>
      </c>
      <c r="H104" s="4"/>
      <c r="I104" s="133"/>
      <c r="J104" s="133"/>
      <c r="K104" s="401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6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468</v>
      </c>
      <c r="E105" s="105">
        <v>42576</v>
      </c>
      <c r="F105" s="109" t="s">
        <v>475</v>
      </c>
      <c r="G105" s="296" t="s">
        <v>472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6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468</v>
      </c>
      <c r="E106" s="105">
        <v>42576</v>
      </c>
      <c r="F106" s="109" t="s">
        <v>476</v>
      </c>
      <c r="G106" s="296" t="s">
        <v>472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6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460</v>
      </c>
      <c r="E107" s="105">
        <v>42576</v>
      </c>
      <c r="F107" s="109" t="s">
        <v>430</v>
      </c>
      <c r="G107" s="296" t="s">
        <v>429</v>
      </c>
      <c r="H107" s="112" t="s">
        <v>622</v>
      </c>
      <c r="I107" s="133"/>
      <c r="J107" s="133"/>
      <c r="K107" s="401">
        <v>17110500</v>
      </c>
      <c r="L107" s="402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6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460</v>
      </c>
      <c r="E108" s="105">
        <v>42576</v>
      </c>
      <c r="F108" s="109" t="s">
        <v>431</v>
      </c>
      <c r="G108" s="296" t="s">
        <v>429</v>
      </c>
      <c r="H108" s="112" t="s">
        <v>622</v>
      </c>
      <c r="I108" s="133"/>
      <c r="J108" s="133"/>
      <c r="K108" s="401">
        <v>1711050</v>
      </c>
      <c r="L108" s="402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63">
        <v>3</v>
      </c>
    </row>
    <row r="109" spans="1:26" ht="15.75" hidden="1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563</v>
      </c>
      <c r="E109" s="110">
        <v>42577</v>
      </c>
      <c r="F109" s="109" t="s">
        <v>512</v>
      </c>
      <c r="G109" s="296" t="s">
        <v>710</v>
      </c>
      <c r="H109" s="4" t="s">
        <v>364</v>
      </c>
      <c r="I109" s="133">
        <v>473</v>
      </c>
      <c r="J109" s="133">
        <v>13000</v>
      </c>
      <c r="K109" s="13">
        <f>ROUND(I109*J109,0)</f>
        <v>6149000</v>
      </c>
      <c r="L109" s="113" t="s">
        <v>251</v>
      </c>
      <c r="M109" s="402" t="s">
        <v>168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63"/>
    </row>
    <row r="110" spans="1:26" ht="15.75" hidden="1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563</v>
      </c>
      <c r="E110" s="110">
        <v>42577</v>
      </c>
      <c r="F110" s="109" t="s">
        <v>494</v>
      </c>
      <c r="G110" s="296" t="s">
        <v>710</v>
      </c>
      <c r="H110" s="4" t="s">
        <v>364</v>
      </c>
      <c r="I110" s="133"/>
      <c r="J110" s="133"/>
      <c r="K110" s="13">
        <v>614900</v>
      </c>
      <c r="L110" s="113" t="s">
        <v>251</v>
      </c>
      <c r="M110" s="402" t="s">
        <v>350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63"/>
    </row>
    <row r="111" spans="1:26" ht="15.75" hidden="1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467</v>
      </c>
      <c r="E111" s="105">
        <v>42579</v>
      </c>
      <c r="F111" s="109" t="s">
        <v>482</v>
      </c>
      <c r="G111" s="296" t="s">
        <v>472</v>
      </c>
      <c r="H111" s="4" t="s">
        <v>365</v>
      </c>
      <c r="I111" s="133"/>
      <c r="J111" s="133"/>
      <c r="K111" s="401">
        <v>14300000</v>
      </c>
      <c r="L111" s="402" t="s">
        <v>24</v>
      </c>
      <c r="M111" s="402" t="s">
        <v>251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63"/>
    </row>
    <row r="112" spans="1:26" ht="15.75" hidden="1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401</v>
      </c>
      <c r="E112" s="105">
        <v>42580</v>
      </c>
      <c r="F112" s="109" t="s">
        <v>403</v>
      </c>
      <c r="G112" s="298" t="s">
        <v>446</v>
      </c>
      <c r="H112" s="4" t="s">
        <v>397</v>
      </c>
      <c r="I112" s="133">
        <v>7756</v>
      </c>
      <c r="J112" s="133">
        <v>7600</v>
      </c>
      <c r="K112" s="13">
        <f>ROUND(I112*J112,0)</f>
        <v>58945600</v>
      </c>
      <c r="L112" s="113" t="s">
        <v>153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63">
        <v>3</v>
      </c>
    </row>
    <row r="113" spans="1:26" ht="15.75" hidden="1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401</v>
      </c>
      <c r="E113" s="105">
        <v>42580</v>
      </c>
      <c r="F113" s="109" t="s">
        <v>447</v>
      </c>
      <c r="G113" s="298" t="s">
        <v>446</v>
      </c>
      <c r="H113" s="4" t="s">
        <v>397</v>
      </c>
      <c r="I113" s="133">
        <v>4223</v>
      </c>
      <c r="J113" s="133">
        <v>8900</v>
      </c>
      <c r="K113" s="13">
        <f>ROUND(I113*J113,0)</f>
        <v>37584700</v>
      </c>
      <c r="L113" s="113" t="s">
        <v>153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63">
        <v>3</v>
      </c>
    </row>
    <row r="114" spans="1:26" ht="15.75" hidden="1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401</v>
      </c>
      <c r="E114" s="105">
        <v>42580</v>
      </c>
      <c r="F114" s="109" t="s">
        <v>448</v>
      </c>
      <c r="G114" s="298" t="s">
        <v>446</v>
      </c>
      <c r="H114" s="4" t="s">
        <v>397</v>
      </c>
      <c r="I114" s="133">
        <v>6881</v>
      </c>
      <c r="J114" s="133">
        <v>8500</v>
      </c>
      <c r="K114" s="13">
        <f>ROUND(I114*J114,0)</f>
        <v>58488500</v>
      </c>
      <c r="L114" s="113" t="s">
        <v>153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63">
        <v>3</v>
      </c>
    </row>
    <row r="115" spans="1:26" ht="15.75" hidden="1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454</v>
      </c>
      <c r="E115" s="105">
        <v>42580</v>
      </c>
      <c r="F115" s="109" t="s">
        <v>398</v>
      </c>
      <c r="G115" s="298" t="s">
        <v>446</v>
      </c>
      <c r="H115" s="4" t="s">
        <v>397</v>
      </c>
      <c r="I115" s="133"/>
      <c r="J115" s="133"/>
      <c r="K115" s="401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63">
        <v>3</v>
      </c>
    </row>
    <row r="116" spans="1:26" ht="15.75" hidden="1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990</v>
      </c>
      <c r="E116" s="105">
        <v>42580</v>
      </c>
      <c r="F116" s="109" t="s">
        <v>483</v>
      </c>
      <c r="G116" s="296" t="s">
        <v>472</v>
      </c>
      <c r="H116" s="4" t="s">
        <v>473</v>
      </c>
      <c r="I116" s="133"/>
      <c r="J116" s="133"/>
      <c r="K116" s="401">
        <v>15000000</v>
      </c>
      <c r="L116" s="402" t="s">
        <v>46</v>
      </c>
      <c r="M116" s="402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63"/>
    </row>
    <row r="117" spans="1:26" ht="15.75" hidden="1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467</v>
      </c>
      <c r="E117" s="105">
        <v>42580</v>
      </c>
      <c r="F117" s="109" t="s">
        <v>482</v>
      </c>
      <c r="G117" s="296" t="s">
        <v>472</v>
      </c>
      <c r="H117" s="4" t="s">
        <v>370</v>
      </c>
      <c r="I117" s="133"/>
      <c r="J117" s="133"/>
      <c r="K117" s="401">
        <v>25674000</v>
      </c>
      <c r="L117" s="402" t="s">
        <v>24</v>
      </c>
      <c r="M117" s="402" t="s">
        <v>251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63"/>
    </row>
    <row r="118" spans="1:26" ht="15.75" hidden="1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564</v>
      </c>
      <c r="E118" s="110">
        <v>42580</v>
      </c>
      <c r="F118" s="109" t="s">
        <v>513</v>
      </c>
      <c r="G118" s="296" t="s">
        <v>711</v>
      </c>
      <c r="H118" s="4" t="s">
        <v>364</v>
      </c>
      <c r="I118" s="133">
        <v>302</v>
      </c>
      <c r="J118" s="133">
        <v>10500</v>
      </c>
      <c r="K118" s="13">
        <f>ROUND(I118*J118,0)</f>
        <v>3171000</v>
      </c>
      <c r="L118" s="113" t="s">
        <v>251</v>
      </c>
      <c r="M118" s="402" t="s">
        <v>168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63"/>
    </row>
    <row r="119" spans="1:26" ht="15.75" hidden="1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564</v>
      </c>
      <c r="E119" s="110">
        <v>42580</v>
      </c>
      <c r="F119" s="109" t="s">
        <v>514</v>
      </c>
      <c r="G119" s="296" t="s">
        <v>711</v>
      </c>
      <c r="H119" s="4" t="s">
        <v>364</v>
      </c>
      <c r="I119" s="133">
        <v>527</v>
      </c>
      <c r="J119" s="133">
        <v>10500</v>
      </c>
      <c r="K119" s="13">
        <f>ROUND(I119*J119,0)</f>
        <v>5533500</v>
      </c>
      <c r="L119" s="113" t="s">
        <v>251</v>
      </c>
      <c r="M119" s="402" t="s">
        <v>168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63"/>
    </row>
    <row r="120" spans="1:26" ht="15.75" hidden="1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564</v>
      </c>
      <c r="E120" s="110">
        <v>42580</v>
      </c>
      <c r="F120" s="109" t="s">
        <v>494</v>
      </c>
      <c r="G120" s="296" t="s">
        <v>711</v>
      </c>
      <c r="H120" s="4" t="s">
        <v>364</v>
      </c>
      <c r="I120" s="133"/>
      <c r="J120" s="133"/>
      <c r="K120" s="13">
        <v>870450</v>
      </c>
      <c r="L120" s="113" t="s">
        <v>251</v>
      </c>
      <c r="M120" s="402" t="s">
        <v>350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63"/>
    </row>
    <row r="121" spans="1:26" ht="15.75" hidden="1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565</v>
      </c>
      <c r="E121" s="110">
        <v>42580</v>
      </c>
      <c r="F121" s="109" t="s">
        <v>647</v>
      </c>
      <c r="G121" s="296" t="s">
        <v>712</v>
      </c>
      <c r="H121" s="4" t="s">
        <v>370</v>
      </c>
      <c r="I121" s="133">
        <v>100</v>
      </c>
      <c r="J121" s="133">
        <v>19700</v>
      </c>
      <c r="K121" s="13">
        <f>ROUND(I121*J121,0)</f>
        <v>1970000</v>
      </c>
      <c r="L121" s="113" t="s">
        <v>251</v>
      </c>
      <c r="M121" s="402" t="s">
        <v>168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63"/>
    </row>
    <row r="122" spans="1:26" ht="15.75" hidden="1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565</v>
      </c>
      <c r="E122" s="110">
        <v>42580</v>
      </c>
      <c r="F122" s="109" t="s">
        <v>817</v>
      </c>
      <c r="G122" s="296" t="s">
        <v>712</v>
      </c>
      <c r="H122" s="4" t="s">
        <v>370</v>
      </c>
      <c r="I122" s="133">
        <v>100</v>
      </c>
      <c r="J122" s="133">
        <v>20100</v>
      </c>
      <c r="K122" s="13">
        <f>ROUND(I122*J122,0)</f>
        <v>2010000</v>
      </c>
      <c r="L122" s="113" t="s">
        <v>251</v>
      </c>
      <c r="M122" s="402" t="s">
        <v>168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63"/>
    </row>
    <row r="123" spans="1:26" ht="15.75" hidden="1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565</v>
      </c>
      <c r="E123" s="110">
        <v>42580</v>
      </c>
      <c r="F123" s="109" t="s">
        <v>494</v>
      </c>
      <c r="G123" s="296" t="s">
        <v>712</v>
      </c>
      <c r="H123" s="4" t="s">
        <v>370</v>
      </c>
      <c r="I123" s="133"/>
      <c r="J123" s="133"/>
      <c r="K123" s="13">
        <v>398000</v>
      </c>
      <c r="L123" s="113" t="s">
        <v>251</v>
      </c>
      <c r="M123" s="402" t="s">
        <v>350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6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638</v>
      </c>
      <c r="E124" s="105">
        <v>42581</v>
      </c>
      <c r="F124" s="109" t="s">
        <v>353</v>
      </c>
      <c r="G124" s="296" t="s">
        <v>422</v>
      </c>
      <c r="H124" s="112" t="s">
        <v>421</v>
      </c>
      <c r="I124" s="133"/>
      <c r="J124" s="133"/>
      <c r="K124" s="401">
        <v>6290000</v>
      </c>
      <c r="L124" s="402" t="s">
        <v>159</v>
      </c>
      <c r="M124" s="402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6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638</v>
      </c>
      <c r="E125" s="105">
        <v>42581</v>
      </c>
      <c r="F125" s="109" t="s">
        <v>423</v>
      </c>
      <c r="G125" s="296" t="s">
        <v>422</v>
      </c>
      <c r="H125" s="112" t="s">
        <v>421</v>
      </c>
      <c r="I125" s="133"/>
      <c r="J125" s="133"/>
      <c r="K125" s="401">
        <v>629000</v>
      </c>
      <c r="L125" s="402" t="s">
        <v>9</v>
      </c>
      <c r="M125" s="402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6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462</v>
      </c>
      <c r="E126" s="105">
        <v>42581</v>
      </c>
      <c r="F126" s="109" t="s">
        <v>409</v>
      </c>
      <c r="G126" s="296" t="s">
        <v>428</v>
      </c>
      <c r="H126" s="112" t="s">
        <v>426</v>
      </c>
      <c r="I126" s="133"/>
      <c r="J126" s="133"/>
      <c r="K126" s="401">
        <v>2011090</v>
      </c>
      <c r="L126" s="402" t="s">
        <v>253</v>
      </c>
      <c r="M126" s="402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6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462</v>
      </c>
      <c r="E127" s="105">
        <v>42581</v>
      </c>
      <c r="F127" s="109" t="s">
        <v>410</v>
      </c>
      <c r="G127" s="296" t="s">
        <v>428</v>
      </c>
      <c r="H127" s="112" t="s">
        <v>426</v>
      </c>
      <c r="I127" s="133"/>
      <c r="J127" s="133"/>
      <c r="K127" s="401">
        <v>201110</v>
      </c>
      <c r="L127" s="402" t="s">
        <v>9</v>
      </c>
      <c r="M127" s="402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6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464</v>
      </c>
      <c r="E128" s="105">
        <v>42581</v>
      </c>
      <c r="F128" s="109" t="s">
        <v>624</v>
      </c>
      <c r="G128" s="296"/>
      <c r="H128" s="112" t="s">
        <v>486</v>
      </c>
      <c r="I128" s="133"/>
      <c r="J128" s="133"/>
      <c r="K128" s="401">
        <f>ROUND((4*10000+20*15000+1*25000)/1.1,0)</f>
        <v>331818</v>
      </c>
      <c r="L128" s="402" t="s">
        <v>253</v>
      </c>
      <c r="M128" s="402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6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464</v>
      </c>
      <c r="E129" s="105">
        <v>42581</v>
      </c>
      <c r="F129" s="109" t="s">
        <v>625</v>
      </c>
      <c r="G129" s="296"/>
      <c r="H129" s="112" t="s">
        <v>486</v>
      </c>
      <c r="I129" s="133"/>
      <c r="J129" s="133"/>
      <c r="K129" s="401">
        <v>33182</v>
      </c>
      <c r="L129" s="402" t="s">
        <v>9</v>
      </c>
      <c r="M129" s="402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63">
        <v>3</v>
      </c>
    </row>
    <row r="130" spans="1:26" ht="15.75" hidden="1" customHeight="1">
      <c r="A130" s="120" t="str">
        <f>IF(B130&lt;&gt;"",IF(AND(B130&gt;=_TM1,B130&lt;=_TM2,OR(TH!L130="1111",TH!M130="1111")),TH!D130,""),"")</f>
        <v/>
      </c>
      <c r="B130" s="580">
        <f t="shared" si="4"/>
        <v>7</v>
      </c>
      <c r="C130" s="557">
        <f t="shared" si="5"/>
        <v>42582</v>
      </c>
      <c r="D130" s="557" t="s">
        <v>323</v>
      </c>
      <c r="E130" s="557">
        <v>42582</v>
      </c>
      <c r="F130" s="560" t="s">
        <v>819</v>
      </c>
      <c r="G130" s="576"/>
      <c r="H130" s="577"/>
      <c r="I130" s="559"/>
      <c r="J130" s="559"/>
      <c r="K130" s="562">
        <v>4390000</v>
      </c>
      <c r="L130" s="578" t="s">
        <v>82</v>
      </c>
      <c r="M130" s="578" t="s">
        <v>254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79"/>
    </row>
    <row r="131" spans="1:26" ht="15.75" hidden="1" customHeight="1">
      <c r="A131" s="120" t="str">
        <f>IF(B131&lt;&gt;"",IF(AND(B131&gt;=_TM1,B131&lt;=_TM2,OR(TH!L131="1111",TH!M131="1111")),TH!D131,""),"")</f>
        <v/>
      </c>
      <c r="B131" s="580">
        <f t="shared" si="4"/>
        <v>7</v>
      </c>
      <c r="C131" s="557">
        <f t="shared" si="5"/>
        <v>42582</v>
      </c>
      <c r="D131" s="557" t="s">
        <v>323</v>
      </c>
      <c r="E131" s="557">
        <v>42582</v>
      </c>
      <c r="F131" s="560" t="s">
        <v>820</v>
      </c>
      <c r="G131" s="576"/>
      <c r="H131" s="577"/>
      <c r="I131" s="559"/>
      <c r="J131" s="559"/>
      <c r="K131" s="562">
        <v>13960000</v>
      </c>
      <c r="L131" s="578" t="s">
        <v>159</v>
      </c>
      <c r="M131" s="578" t="s">
        <v>254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79"/>
    </row>
    <row r="132" spans="1:26" ht="15.75" hidden="1" customHeight="1">
      <c r="A132" s="120" t="str">
        <f>IF(B132&lt;&gt;"",IF(AND(B132&gt;=_TM1,B132&lt;=_TM2,OR(TH!L132="1111",TH!M132="1111")),TH!D132,""),"")</f>
        <v/>
      </c>
      <c r="B132" s="580">
        <f t="shared" si="4"/>
        <v>7</v>
      </c>
      <c r="C132" s="557">
        <f t="shared" si="5"/>
        <v>42582</v>
      </c>
      <c r="D132" s="557" t="s">
        <v>465</v>
      </c>
      <c r="E132" s="557">
        <v>42582</v>
      </c>
      <c r="F132" s="560" t="str">
        <f>"Thanh toán tiền lương tháng "&amp;MONTH(E132)&amp;"/"&amp;YEAR(E132)</f>
        <v>Thanh toán tiền lương tháng 7/2016</v>
      </c>
      <c r="G132" s="576"/>
      <c r="H132" s="577" t="s">
        <v>794</v>
      </c>
      <c r="I132" s="559"/>
      <c r="J132" s="559"/>
      <c r="K132" s="562">
        <f>K130+K131</f>
        <v>18350000</v>
      </c>
      <c r="L132" s="578" t="s">
        <v>254</v>
      </c>
      <c r="M132" s="57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7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468</v>
      </c>
      <c r="E133" s="105">
        <v>42583</v>
      </c>
      <c r="F133" s="109" t="s">
        <v>463</v>
      </c>
      <c r="G133" s="296" t="s">
        <v>472</v>
      </c>
      <c r="H133" s="4" t="s">
        <v>397</v>
      </c>
      <c r="I133" s="133"/>
      <c r="J133" s="133"/>
      <c r="K133" s="401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63"/>
    </row>
    <row r="134" spans="1:26" ht="15.75" hidden="1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566</v>
      </c>
      <c r="E134" s="110">
        <v>42583</v>
      </c>
      <c r="F134" s="109" t="s">
        <v>508</v>
      </c>
      <c r="G134" s="296" t="s">
        <v>713</v>
      </c>
      <c r="H134" s="4" t="s">
        <v>688</v>
      </c>
      <c r="I134" s="4">
        <v>500</v>
      </c>
      <c r="J134" s="133">
        <v>5900</v>
      </c>
      <c r="K134" s="13">
        <f>ROUND(I134*J134,0)</f>
        <v>2950000</v>
      </c>
      <c r="L134" s="113" t="s">
        <v>251</v>
      </c>
      <c r="M134" s="402" t="s">
        <v>168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63"/>
    </row>
    <row r="135" spans="1:26" ht="15.75" hidden="1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566</v>
      </c>
      <c r="E135" s="110">
        <v>42583</v>
      </c>
      <c r="F135" s="109" t="s">
        <v>494</v>
      </c>
      <c r="G135" s="296" t="s">
        <v>713</v>
      </c>
      <c r="H135" s="4" t="s">
        <v>688</v>
      </c>
      <c r="I135" s="133"/>
      <c r="J135" s="133"/>
      <c r="K135" s="13">
        <v>295000</v>
      </c>
      <c r="L135" s="113" t="s">
        <v>251</v>
      </c>
      <c r="M135" s="402" t="s">
        <v>350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63"/>
    </row>
    <row r="136" spans="1:26" ht="15.75" hidden="1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567</v>
      </c>
      <c r="E136" s="110">
        <v>42584</v>
      </c>
      <c r="F136" s="109" t="s">
        <v>515</v>
      </c>
      <c r="G136" s="296" t="s">
        <v>714</v>
      </c>
      <c r="H136" s="4" t="s">
        <v>372</v>
      </c>
      <c r="I136" s="133">
        <v>606</v>
      </c>
      <c r="J136" s="133">
        <v>6000</v>
      </c>
      <c r="K136" s="13">
        <f>ROUND(I136*J136,0)</f>
        <v>3636000</v>
      </c>
      <c r="L136" s="113" t="s">
        <v>251</v>
      </c>
      <c r="M136" s="402" t="s">
        <v>168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63"/>
    </row>
    <row r="137" spans="1:26" ht="15.75" hidden="1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567</v>
      </c>
      <c r="E137" s="110">
        <v>42584</v>
      </c>
      <c r="F137" s="109" t="s">
        <v>516</v>
      </c>
      <c r="G137" s="296" t="s">
        <v>714</v>
      </c>
      <c r="H137" s="4" t="s">
        <v>372</v>
      </c>
      <c r="I137" s="133">
        <v>404</v>
      </c>
      <c r="J137" s="133">
        <v>8600</v>
      </c>
      <c r="K137" s="13">
        <f>ROUND(I137*J137,0)</f>
        <v>3474400</v>
      </c>
      <c r="L137" s="113" t="s">
        <v>251</v>
      </c>
      <c r="M137" s="402" t="s">
        <v>168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63"/>
    </row>
    <row r="138" spans="1:26" ht="15.75" hidden="1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567</v>
      </c>
      <c r="E138" s="110">
        <v>42584</v>
      </c>
      <c r="F138" s="109" t="s">
        <v>517</v>
      </c>
      <c r="G138" s="296" t="s">
        <v>714</v>
      </c>
      <c r="H138" s="4" t="s">
        <v>372</v>
      </c>
      <c r="I138" s="133">
        <v>304</v>
      </c>
      <c r="J138" s="133">
        <v>14200</v>
      </c>
      <c r="K138" s="13">
        <f>ROUND(I138*J138,0)</f>
        <v>4316800</v>
      </c>
      <c r="L138" s="113" t="s">
        <v>251</v>
      </c>
      <c r="M138" s="402" t="s">
        <v>168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63"/>
    </row>
    <row r="139" spans="1:26" ht="15.75" hidden="1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567</v>
      </c>
      <c r="E139" s="110">
        <v>42584</v>
      </c>
      <c r="F139" s="109" t="s">
        <v>494</v>
      </c>
      <c r="G139" s="296" t="s">
        <v>714</v>
      </c>
      <c r="H139" s="4" t="s">
        <v>372</v>
      </c>
      <c r="I139" s="133"/>
      <c r="J139" s="133"/>
      <c r="K139" s="13">
        <v>1142720</v>
      </c>
      <c r="L139" s="113" t="s">
        <v>251</v>
      </c>
      <c r="M139" s="402" t="s">
        <v>350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63"/>
    </row>
    <row r="140" spans="1:26" ht="15.75" hidden="1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568</v>
      </c>
      <c r="E140" s="110">
        <v>42584</v>
      </c>
      <c r="F140" s="109" t="s">
        <v>518</v>
      </c>
      <c r="G140" s="296" t="s">
        <v>715</v>
      </c>
      <c r="H140" s="4" t="s">
        <v>363</v>
      </c>
      <c r="I140" s="133">
        <v>1335</v>
      </c>
      <c r="J140" s="133">
        <v>5000</v>
      </c>
      <c r="K140" s="13">
        <f>ROUND(I140*J140,0)</f>
        <v>6675000</v>
      </c>
      <c r="L140" s="113" t="s">
        <v>251</v>
      </c>
      <c r="M140" s="402" t="s">
        <v>168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63"/>
    </row>
    <row r="141" spans="1:26" ht="15.75" hidden="1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568</v>
      </c>
      <c r="E141" s="110">
        <v>42584</v>
      </c>
      <c r="F141" s="109" t="s">
        <v>519</v>
      </c>
      <c r="G141" s="296" t="s">
        <v>715</v>
      </c>
      <c r="H141" s="4" t="s">
        <v>363</v>
      </c>
      <c r="I141" s="133">
        <v>302</v>
      </c>
      <c r="J141" s="133">
        <v>5100</v>
      </c>
      <c r="K141" s="13">
        <f>ROUND(I141*J141,0)</f>
        <v>1540200</v>
      </c>
      <c r="L141" s="113" t="s">
        <v>251</v>
      </c>
      <c r="M141" s="402" t="s">
        <v>168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63"/>
    </row>
    <row r="142" spans="1:26" ht="15.75" hidden="1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568</v>
      </c>
      <c r="E142" s="110">
        <v>42584</v>
      </c>
      <c r="F142" s="109" t="s">
        <v>520</v>
      </c>
      <c r="G142" s="296" t="s">
        <v>715</v>
      </c>
      <c r="H142" s="4" t="s">
        <v>363</v>
      </c>
      <c r="I142" s="133">
        <v>420</v>
      </c>
      <c r="J142" s="133">
        <v>9700</v>
      </c>
      <c r="K142" s="13">
        <f>ROUND(I142*J142,0)</f>
        <v>4074000</v>
      </c>
      <c r="L142" s="113" t="s">
        <v>251</v>
      </c>
      <c r="M142" s="402" t="s">
        <v>168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63"/>
    </row>
    <row r="143" spans="1:26" ht="15.75" hidden="1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568</v>
      </c>
      <c r="E143" s="110">
        <v>42584</v>
      </c>
      <c r="F143" s="109" t="s">
        <v>494</v>
      </c>
      <c r="G143" s="296" t="s">
        <v>715</v>
      </c>
      <c r="H143" s="4" t="s">
        <v>363</v>
      </c>
      <c r="I143" s="133"/>
      <c r="J143" s="133"/>
      <c r="K143" s="13">
        <v>1228920</v>
      </c>
      <c r="L143" s="113" t="s">
        <v>251</v>
      </c>
      <c r="M143" s="402" t="s">
        <v>350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63"/>
    </row>
    <row r="144" spans="1:26" ht="15.75" hidden="1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991</v>
      </c>
      <c r="E144" s="110">
        <v>42585</v>
      </c>
      <c r="F144" s="111" t="s">
        <v>482</v>
      </c>
      <c r="G144" s="296" t="s">
        <v>1023</v>
      </c>
      <c r="H144" s="4" t="s">
        <v>364</v>
      </c>
      <c r="I144" s="133"/>
      <c r="J144" s="133"/>
      <c r="K144" s="13">
        <f>9574950+6763900</f>
        <v>16338850</v>
      </c>
      <c r="L144" s="113" t="s">
        <v>46</v>
      </c>
      <c r="M144" s="402" t="s">
        <v>251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63"/>
    </row>
    <row r="145" spans="1:26" ht="15.75" hidden="1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569</v>
      </c>
      <c r="E145" s="110">
        <v>42585</v>
      </c>
      <c r="F145" s="109" t="s">
        <v>521</v>
      </c>
      <c r="G145" s="296" t="s">
        <v>716</v>
      </c>
      <c r="H145" s="4" t="s">
        <v>364</v>
      </c>
      <c r="I145" s="133">
        <v>427</v>
      </c>
      <c r="J145" s="133">
        <v>10200</v>
      </c>
      <c r="K145" s="13">
        <f>ROUND(I145*J145,0)</f>
        <v>4355400</v>
      </c>
      <c r="L145" s="113" t="s">
        <v>251</v>
      </c>
      <c r="M145" s="402" t="s">
        <v>168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63"/>
    </row>
    <row r="146" spans="1:26" ht="15.75" hidden="1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569</v>
      </c>
      <c r="E146" s="110">
        <v>42585</v>
      </c>
      <c r="F146" s="109" t="s">
        <v>494</v>
      </c>
      <c r="G146" s="296" t="s">
        <v>716</v>
      </c>
      <c r="H146" s="4" t="s">
        <v>364</v>
      </c>
      <c r="I146" s="133"/>
      <c r="J146" s="133"/>
      <c r="K146" s="13">
        <v>435540</v>
      </c>
      <c r="L146" s="113" t="s">
        <v>251</v>
      </c>
      <c r="M146" s="402" t="s">
        <v>350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63"/>
    </row>
    <row r="147" spans="1:26" ht="15.75" hidden="1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570</v>
      </c>
      <c r="E147" s="110">
        <v>42588</v>
      </c>
      <c r="F147" s="109" t="s">
        <v>536</v>
      </c>
      <c r="G147" s="296" t="s">
        <v>717</v>
      </c>
      <c r="H147" s="4" t="s">
        <v>616</v>
      </c>
      <c r="I147" s="133">
        <v>108</v>
      </c>
      <c r="J147" s="133">
        <v>6400</v>
      </c>
      <c r="K147" s="13">
        <f>ROUND(I147*J147,0)</f>
        <v>691200</v>
      </c>
      <c r="L147" s="113" t="s">
        <v>251</v>
      </c>
      <c r="M147" s="402" t="s">
        <v>168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63"/>
    </row>
    <row r="148" spans="1:26" ht="15.75" hidden="1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570</v>
      </c>
      <c r="E148" s="110">
        <v>42588</v>
      </c>
      <c r="F148" s="109" t="s">
        <v>662</v>
      </c>
      <c r="G148" s="296" t="s">
        <v>717</v>
      </c>
      <c r="H148" s="4" t="s">
        <v>616</v>
      </c>
      <c r="I148" s="133">
        <v>103</v>
      </c>
      <c r="J148" s="133">
        <v>9400</v>
      </c>
      <c r="K148" s="13">
        <f>ROUND(I148*J148,0)</f>
        <v>968200</v>
      </c>
      <c r="L148" s="113" t="s">
        <v>251</v>
      </c>
      <c r="M148" s="402" t="s">
        <v>168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63"/>
    </row>
    <row r="149" spans="1:26" ht="15.75" hidden="1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570</v>
      </c>
      <c r="E149" s="110">
        <v>42588</v>
      </c>
      <c r="F149" s="109" t="s">
        <v>494</v>
      </c>
      <c r="G149" s="296" t="s">
        <v>717</v>
      </c>
      <c r="H149" s="4" t="s">
        <v>616</v>
      </c>
      <c r="I149" s="133"/>
      <c r="J149" s="133"/>
      <c r="K149" s="13">
        <v>165940</v>
      </c>
      <c r="L149" s="113" t="s">
        <v>251</v>
      </c>
      <c r="M149" s="402" t="s">
        <v>350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6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466</v>
      </c>
      <c r="E150" s="105">
        <v>42590</v>
      </c>
      <c r="F150" s="109" t="s">
        <v>437</v>
      </c>
      <c r="G150" s="296" t="s">
        <v>436</v>
      </c>
      <c r="H150" s="112" t="s">
        <v>435</v>
      </c>
      <c r="I150" s="133"/>
      <c r="J150" s="133"/>
      <c r="K150" s="401">
        <v>1400000</v>
      </c>
      <c r="L150" s="402" t="s">
        <v>82</v>
      </c>
      <c r="M150" s="402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6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466</v>
      </c>
      <c r="E151" s="105">
        <v>42590</v>
      </c>
      <c r="F151" s="109" t="s">
        <v>438</v>
      </c>
      <c r="G151" s="296" t="s">
        <v>436</v>
      </c>
      <c r="H151" s="112" t="s">
        <v>435</v>
      </c>
      <c r="I151" s="133"/>
      <c r="J151" s="133"/>
      <c r="K151" s="401">
        <v>140000</v>
      </c>
      <c r="L151" s="402" t="s">
        <v>9</v>
      </c>
      <c r="M151" s="402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63">
        <v>3</v>
      </c>
    </row>
    <row r="152" spans="1:26" ht="15.75" hidden="1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571</v>
      </c>
      <c r="E152" s="110">
        <v>42591</v>
      </c>
      <c r="F152" s="109" t="s">
        <v>522</v>
      </c>
      <c r="G152" s="296" t="s">
        <v>718</v>
      </c>
      <c r="H152" s="112" t="s">
        <v>614</v>
      </c>
      <c r="I152" s="133">
        <v>490</v>
      </c>
      <c r="J152" s="133">
        <v>11000</v>
      </c>
      <c r="K152" s="13">
        <f>ROUND(I152*J152,0)</f>
        <v>5390000</v>
      </c>
      <c r="L152" s="113" t="s">
        <v>251</v>
      </c>
      <c r="M152" s="402" t="s">
        <v>168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63"/>
    </row>
    <row r="153" spans="1:26" ht="15.75" hidden="1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571</v>
      </c>
      <c r="E153" s="110">
        <v>42591</v>
      </c>
      <c r="F153" s="109" t="s">
        <v>494</v>
      </c>
      <c r="G153" s="296" t="s">
        <v>718</v>
      </c>
      <c r="H153" s="112" t="s">
        <v>614</v>
      </c>
      <c r="I153" s="133"/>
      <c r="J153" s="133"/>
      <c r="K153" s="13">
        <v>539000</v>
      </c>
      <c r="L153" s="113" t="s">
        <v>251</v>
      </c>
      <c r="M153" s="402" t="s">
        <v>350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63"/>
    </row>
    <row r="154" spans="1:26" ht="15.75" hidden="1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992</v>
      </c>
      <c r="E154" s="110">
        <v>42591</v>
      </c>
      <c r="F154" s="111" t="s">
        <v>482</v>
      </c>
      <c r="G154" s="296" t="s">
        <v>718</v>
      </c>
      <c r="H154" s="112" t="s">
        <v>614</v>
      </c>
      <c r="I154" s="133"/>
      <c r="J154" s="133"/>
      <c r="K154" s="13">
        <v>5929000</v>
      </c>
      <c r="L154" s="113" t="s">
        <v>46</v>
      </c>
      <c r="M154" s="402" t="s">
        <v>251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63"/>
    </row>
    <row r="155" spans="1:26" ht="15.75" hidden="1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572</v>
      </c>
      <c r="E155" s="110">
        <v>42592</v>
      </c>
      <c r="F155" s="109" t="s">
        <v>524</v>
      </c>
      <c r="G155" s="296" t="s">
        <v>719</v>
      </c>
      <c r="H155" s="112" t="s">
        <v>523</v>
      </c>
      <c r="I155" s="133">
        <v>403</v>
      </c>
      <c r="J155" s="133">
        <v>20000</v>
      </c>
      <c r="K155" s="13">
        <f>ROUND(I155*J155,0)</f>
        <v>8060000</v>
      </c>
      <c r="L155" s="113" t="s">
        <v>251</v>
      </c>
      <c r="M155" s="402" t="s">
        <v>168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63"/>
    </row>
    <row r="156" spans="1:26" ht="15.75" hidden="1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572</v>
      </c>
      <c r="E156" s="110">
        <v>42592</v>
      </c>
      <c r="F156" s="109" t="s">
        <v>494</v>
      </c>
      <c r="G156" s="296" t="s">
        <v>719</v>
      </c>
      <c r="H156" s="112" t="s">
        <v>523</v>
      </c>
      <c r="I156" s="133"/>
      <c r="J156" s="133"/>
      <c r="K156" s="13">
        <v>806000</v>
      </c>
      <c r="L156" s="113" t="s">
        <v>251</v>
      </c>
      <c r="M156" s="402" t="s">
        <v>350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63"/>
    </row>
    <row r="157" spans="1:26" ht="15.75" hidden="1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573</v>
      </c>
      <c r="E157" s="110">
        <v>42592</v>
      </c>
      <c r="F157" s="109" t="s">
        <v>645</v>
      </c>
      <c r="G157" s="296" t="s">
        <v>720</v>
      </c>
      <c r="H157" s="4" t="s">
        <v>370</v>
      </c>
      <c r="I157" s="133">
        <v>30</v>
      </c>
      <c r="J157" s="133">
        <v>14200</v>
      </c>
      <c r="K157" s="13">
        <f>ROUND(I157*J157,0)</f>
        <v>426000</v>
      </c>
      <c r="L157" s="113" t="s">
        <v>251</v>
      </c>
      <c r="M157" s="402" t="s">
        <v>168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63"/>
    </row>
    <row r="158" spans="1:26" ht="15.75" hidden="1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573</v>
      </c>
      <c r="E158" s="110">
        <v>42592</v>
      </c>
      <c r="F158" s="109" t="s">
        <v>648</v>
      </c>
      <c r="G158" s="296" t="s">
        <v>720</v>
      </c>
      <c r="H158" s="4" t="s">
        <v>370</v>
      </c>
      <c r="I158" s="133">
        <v>30</v>
      </c>
      <c r="J158" s="133">
        <v>15300</v>
      </c>
      <c r="K158" s="13">
        <f>ROUND(I158*J158,0)</f>
        <v>459000</v>
      </c>
      <c r="L158" s="113" t="s">
        <v>251</v>
      </c>
      <c r="M158" s="402" t="s">
        <v>168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63"/>
    </row>
    <row r="159" spans="1:26" ht="15.75" hidden="1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573</v>
      </c>
      <c r="E159" s="110">
        <v>42592</v>
      </c>
      <c r="F159" s="109" t="s">
        <v>646</v>
      </c>
      <c r="G159" s="296" t="s">
        <v>720</v>
      </c>
      <c r="H159" s="4" t="s">
        <v>370</v>
      </c>
      <c r="I159" s="133">
        <v>30</v>
      </c>
      <c r="J159" s="133">
        <v>16500</v>
      </c>
      <c r="K159" s="13">
        <f>ROUND(I159*J159,0)</f>
        <v>495000</v>
      </c>
      <c r="L159" s="113" t="s">
        <v>251</v>
      </c>
      <c r="M159" s="402" t="s">
        <v>168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63"/>
    </row>
    <row r="160" spans="1:26" ht="15.75" hidden="1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573</v>
      </c>
      <c r="E160" s="110">
        <v>42592</v>
      </c>
      <c r="F160" s="109" t="s">
        <v>647</v>
      </c>
      <c r="G160" s="296" t="s">
        <v>720</v>
      </c>
      <c r="H160" s="4" t="s">
        <v>370</v>
      </c>
      <c r="I160" s="133">
        <v>100</v>
      </c>
      <c r="J160" s="133">
        <v>19700</v>
      </c>
      <c r="K160" s="13">
        <f>ROUND(I160*J160,0)</f>
        <v>1970000</v>
      </c>
      <c r="L160" s="113" t="s">
        <v>251</v>
      </c>
      <c r="M160" s="402" t="s">
        <v>168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63"/>
    </row>
    <row r="161" spans="1:26" ht="15.75" hidden="1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573</v>
      </c>
      <c r="E161" s="110">
        <v>42592</v>
      </c>
      <c r="F161" s="109" t="s">
        <v>817</v>
      </c>
      <c r="G161" s="296" t="s">
        <v>720</v>
      </c>
      <c r="H161" s="4" t="s">
        <v>370</v>
      </c>
      <c r="I161" s="133">
        <v>60</v>
      </c>
      <c r="J161" s="133">
        <v>20100</v>
      </c>
      <c r="K161" s="13">
        <f>ROUND(I161*J161,0)</f>
        <v>1206000</v>
      </c>
      <c r="L161" s="113" t="s">
        <v>251</v>
      </c>
      <c r="M161" s="402" t="s">
        <v>168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63"/>
    </row>
    <row r="162" spans="1:26" ht="15.75" hidden="1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573</v>
      </c>
      <c r="E162" s="110">
        <v>42592</v>
      </c>
      <c r="F162" s="109" t="s">
        <v>494</v>
      </c>
      <c r="G162" s="296" t="s">
        <v>720</v>
      </c>
      <c r="H162" s="4" t="s">
        <v>370</v>
      </c>
      <c r="I162" s="133"/>
      <c r="J162" s="133"/>
      <c r="K162" s="13">
        <v>455600</v>
      </c>
      <c r="L162" s="113" t="s">
        <v>251</v>
      </c>
      <c r="M162" s="402" t="s">
        <v>350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63"/>
    </row>
    <row r="163" spans="1:26" ht="15.75" hidden="1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574</v>
      </c>
      <c r="E163" s="110">
        <v>42592</v>
      </c>
      <c r="F163" s="109" t="s">
        <v>524</v>
      </c>
      <c r="G163" s="296" t="s">
        <v>721</v>
      </c>
      <c r="H163" s="112" t="s">
        <v>523</v>
      </c>
      <c r="I163" s="133">
        <v>403</v>
      </c>
      <c r="J163" s="133">
        <v>20000</v>
      </c>
      <c r="K163" s="13">
        <f>ROUND(I163*J163,0)</f>
        <v>8060000</v>
      </c>
      <c r="L163" s="113" t="s">
        <v>251</v>
      </c>
      <c r="M163" s="402" t="s">
        <v>168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63"/>
    </row>
    <row r="164" spans="1:26" ht="15.75" hidden="1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574</v>
      </c>
      <c r="E164" s="110">
        <v>42592</v>
      </c>
      <c r="F164" s="109" t="s">
        <v>494</v>
      </c>
      <c r="G164" s="296" t="s">
        <v>721</v>
      </c>
      <c r="H164" s="112" t="s">
        <v>523</v>
      </c>
      <c r="I164" s="133"/>
      <c r="J164" s="133"/>
      <c r="K164" s="13">
        <v>806000</v>
      </c>
      <c r="L164" s="113" t="s">
        <v>251</v>
      </c>
      <c r="M164" s="402" t="s">
        <v>350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63"/>
    </row>
    <row r="165" spans="1:26" ht="15.75" hidden="1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993</v>
      </c>
      <c r="E165" s="110">
        <v>42592</v>
      </c>
      <c r="F165" s="111" t="s">
        <v>482</v>
      </c>
      <c r="G165" s="296" t="s">
        <v>1027</v>
      </c>
      <c r="H165" s="112" t="s">
        <v>523</v>
      </c>
      <c r="I165" s="133"/>
      <c r="J165" s="133"/>
      <c r="K165" s="13">
        <f>8866000+8866000</f>
        <v>17732000</v>
      </c>
      <c r="L165" s="113" t="s">
        <v>46</v>
      </c>
      <c r="M165" s="402" t="s">
        <v>251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63"/>
    </row>
    <row r="166" spans="1:26" ht="15.75" hidden="1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575</v>
      </c>
      <c r="E166" s="110">
        <v>42594</v>
      </c>
      <c r="F166" s="561" t="s">
        <v>655</v>
      </c>
      <c r="G166" s="296" t="s">
        <v>722</v>
      </c>
      <c r="H166" s="4" t="s">
        <v>369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251</v>
      </c>
      <c r="M166" s="402" t="s">
        <v>168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63"/>
    </row>
    <row r="167" spans="1:26" ht="15.75" hidden="1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575</v>
      </c>
      <c r="E167" s="110">
        <v>42594</v>
      </c>
      <c r="F167" s="109" t="s">
        <v>655</v>
      </c>
      <c r="G167" s="296" t="s">
        <v>722</v>
      </c>
      <c r="H167" s="4" t="s">
        <v>369</v>
      </c>
      <c r="I167" s="133">
        <v>80</v>
      </c>
      <c r="J167" s="133">
        <v>9200</v>
      </c>
      <c r="K167" s="13">
        <f t="shared" si="7"/>
        <v>736000</v>
      </c>
      <c r="L167" s="113" t="s">
        <v>251</v>
      </c>
      <c r="M167" s="402" t="s">
        <v>168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63"/>
    </row>
    <row r="168" spans="1:26" ht="15.75" hidden="1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575</v>
      </c>
      <c r="E168" s="110">
        <v>42594</v>
      </c>
      <c r="F168" s="111" t="s">
        <v>656</v>
      </c>
      <c r="G168" s="296" t="s">
        <v>722</v>
      </c>
      <c r="H168" s="4" t="s">
        <v>369</v>
      </c>
      <c r="I168" s="133">
        <v>35</v>
      </c>
      <c r="J168" s="133">
        <v>9300</v>
      </c>
      <c r="K168" s="13">
        <f t="shared" si="7"/>
        <v>325500</v>
      </c>
      <c r="L168" s="113" t="s">
        <v>251</v>
      </c>
      <c r="M168" s="402" t="s">
        <v>168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63"/>
    </row>
    <row r="169" spans="1:26" ht="15.75" hidden="1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575</v>
      </c>
      <c r="E169" s="110">
        <v>42594</v>
      </c>
      <c r="F169" s="109" t="s">
        <v>657</v>
      </c>
      <c r="G169" s="296" t="s">
        <v>722</v>
      </c>
      <c r="H169" s="4" t="s">
        <v>369</v>
      </c>
      <c r="I169" s="133">
        <v>90</v>
      </c>
      <c r="J169" s="133">
        <v>7500</v>
      </c>
      <c r="K169" s="13">
        <f t="shared" si="7"/>
        <v>675000</v>
      </c>
      <c r="L169" s="113" t="s">
        <v>251</v>
      </c>
      <c r="M169" s="402" t="s">
        <v>168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63"/>
    </row>
    <row r="170" spans="1:26" ht="15.75" hidden="1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575</v>
      </c>
      <c r="E170" s="110">
        <v>42594</v>
      </c>
      <c r="F170" s="111" t="s">
        <v>658</v>
      </c>
      <c r="G170" s="296" t="s">
        <v>722</v>
      </c>
      <c r="H170" s="4" t="s">
        <v>369</v>
      </c>
      <c r="I170" s="133">
        <v>650</v>
      </c>
      <c r="J170" s="133">
        <v>6200</v>
      </c>
      <c r="K170" s="13">
        <f t="shared" si="7"/>
        <v>4030000</v>
      </c>
      <c r="L170" s="113" t="s">
        <v>251</v>
      </c>
      <c r="M170" s="402" t="s">
        <v>168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63"/>
    </row>
    <row r="171" spans="1:26" ht="15.75" hidden="1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575</v>
      </c>
      <c r="E171" s="110">
        <v>42594</v>
      </c>
      <c r="F171" s="109" t="s">
        <v>659</v>
      </c>
      <c r="G171" s="296" t="s">
        <v>722</v>
      </c>
      <c r="H171" s="4" t="s">
        <v>369</v>
      </c>
      <c r="I171" s="133">
        <v>210</v>
      </c>
      <c r="J171" s="133">
        <v>9500</v>
      </c>
      <c r="K171" s="13">
        <f t="shared" si="7"/>
        <v>1995000</v>
      </c>
      <c r="L171" s="113" t="s">
        <v>251</v>
      </c>
      <c r="M171" s="402" t="s">
        <v>168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63"/>
    </row>
    <row r="172" spans="1:26" ht="15.75" hidden="1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575</v>
      </c>
      <c r="E172" s="110">
        <v>42594</v>
      </c>
      <c r="F172" s="109" t="s">
        <v>494</v>
      </c>
      <c r="G172" s="296" t="s">
        <v>722</v>
      </c>
      <c r="H172" s="4" t="s">
        <v>369</v>
      </c>
      <c r="I172" s="133"/>
      <c r="J172" s="133"/>
      <c r="K172" s="13">
        <v>2021030</v>
      </c>
      <c r="L172" s="113" t="s">
        <v>251</v>
      </c>
      <c r="M172" s="402" t="s">
        <v>350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63"/>
    </row>
    <row r="173" spans="1:26" ht="15.75" hidden="1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458</v>
      </c>
      <c r="E173" s="105">
        <v>42595</v>
      </c>
      <c r="F173" s="109" t="s">
        <v>442</v>
      </c>
      <c r="G173" s="296" t="s">
        <v>441</v>
      </c>
      <c r="H173" s="112" t="s">
        <v>440</v>
      </c>
      <c r="I173" s="133">
        <v>19810</v>
      </c>
      <c r="J173" s="133">
        <v>780</v>
      </c>
      <c r="K173" s="13">
        <f>ROUND(I173*J173,0)</f>
        <v>15451800</v>
      </c>
      <c r="L173" s="113" t="s">
        <v>155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63">
        <v>3</v>
      </c>
    </row>
    <row r="174" spans="1:26" ht="15.75" hidden="1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458</v>
      </c>
      <c r="E174" s="105">
        <v>42595</v>
      </c>
      <c r="F174" s="109" t="s">
        <v>443</v>
      </c>
      <c r="G174" s="296" t="s">
        <v>441</v>
      </c>
      <c r="H174" s="112" t="s">
        <v>440</v>
      </c>
      <c r="I174" s="133"/>
      <c r="J174" s="133"/>
      <c r="K174" s="401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6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639</v>
      </c>
      <c r="E175" s="105">
        <v>42595</v>
      </c>
      <c r="F175" s="109" t="s">
        <v>463</v>
      </c>
      <c r="G175" s="296" t="s">
        <v>441</v>
      </c>
      <c r="H175" s="112" t="s">
        <v>440</v>
      </c>
      <c r="I175" s="133"/>
      <c r="J175" s="133"/>
      <c r="K175" s="401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63"/>
    </row>
    <row r="176" spans="1:26" ht="15.75" hidden="1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576</v>
      </c>
      <c r="E176" s="110">
        <v>42597</v>
      </c>
      <c r="F176" s="109" t="s">
        <v>525</v>
      </c>
      <c r="G176" s="296" t="s">
        <v>723</v>
      </c>
      <c r="H176" s="4" t="s">
        <v>618</v>
      </c>
      <c r="I176" s="133">
        <v>429</v>
      </c>
      <c r="J176" s="133">
        <v>6000</v>
      </c>
      <c r="K176" s="13">
        <f>ROUND(I176*J176,0)</f>
        <v>2574000</v>
      </c>
      <c r="L176" s="113" t="s">
        <v>251</v>
      </c>
      <c r="M176" s="402" t="s">
        <v>168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63"/>
    </row>
    <row r="177" spans="1:26" ht="15.75" hidden="1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576</v>
      </c>
      <c r="E177" s="110">
        <v>42597</v>
      </c>
      <c r="F177" s="109" t="s">
        <v>526</v>
      </c>
      <c r="G177" s="296" t="s">
        <v>723</v>
      </c>
      <c r="H177" s="4" t="s">
        <v>618</v>
      </c>
      <c r="I177" s="133">
        <v>370</v>
      </c>
      <c r="J177" s="133">
        <v>6600</v>
      </c>
      <c r="K177" s="13">
        <f>ROUND(I177*J177,0)</f>
        <v>2442000</v>
      </c>
      <c r="L177" s="113" t="s">
        <v>251</v>
      </c>
      <c r="M177" s="402" t="s">
        <v>168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63"/>
    </row>
    <row r="178" spans="1:26" ht="15.75" hidden="1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576</v>
      </c>
      <c r="E178" s="110">
        <v>42597</v>
      </c>
      <c r="F178" s="109" t="s">
        <v>494</v>
      </c>
      <c r="G178" s="296" t="s">
        <v>723</v>
      </c>
      <c r="H178" s="4" t="s">
        <v>618</v>
      </c>
      <c r="I178" s="133"/>
      <c r="J178" s="133"/>
      <c r="K178" s="13">
        <v>501600</v>
      </c>
      <c r="L178" s="113" t="s">
        <v>251</v>
      </c>
      <c r="M178" s="402" t="s">
        <v>350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63"/>
    </row>
    <row r="179" spans="1:26" ht="15.75" hidden="1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577</v>
      </c>
      <c r="E179" s="110">
        <v>42597</v>
      </c>
      <c r="F179" s="109" t="s">
        <v>527</v>
      </c>
      <c r="G179" s="296" t="s">
        <v>724</v>
      </c>
      <c r="H179" s="4" t="s">
        <v>367</v>
      </c>
      <c r="I179" s="133">
        <v>130</v>
      </c>
      <c r="J179" s="133">
        <v>47449</v>
      </c>
      <c r="K179" s="13">
        <f>ROUND(I179*J179,0)</f>
        <v>6168370</v>
      </c>
      <c r="L179" s="113" t="s">
        <v>251</v>
      </c>
      <c r="M179" s="402" t="s">
        <v>168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63"/>
    </row>
    <row r="180" spans="1:26" ht="15.75" hidden="1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577</v>
      </c>
      <c r="E180" s="110">
        <v>42597</v>
      </c>
      <c r="F180" s="109" t="s">
        <v>494</v>
      </c>
      <c r="G180" s="296" t="s">
        <v>724</v>
      </c>
      <c r="H180" s="4" t="s">
        <v>367</v>
      </c>
      <c r="I180" s="133"/>
      <c r="J180" s="133"/>
      <c r="K180" s="13">
        <v>616837</v>
      </c>
      <c r="L180" s="113" t="s">
        <v>251</v>
      </c>
      <c r="M180" s="402" t="s">
        <v>350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63"/>
    </row>
    <row r="181" spans="1:26" ht="15.75" hidden="1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994</v>
      </c>
      <c r="E181" s="110">
        <v>42597</v>
      </c>
      <c r="F181" s="111" t="s">
        <v>482</v>
      </c>
      <c r="G181" s="296" t="s">
        <v>724</v>
      </c>
      <c r="H181" s="4" t="s">
        <v>367</v>
      </c>
      <c r="I181" s="133"/>
      <c r="J181" s="133"/>
      <c r="K181" s="13">
        <v>6785207</v>
      </c>
      <c r="L181" s="113" t="s">
        <v>46</v>
      </c>
      <c r="M181" s="402" t="s">
        <v>251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63"/>
    </row>
    <row r="182" spans="1:26" ht="15.75" hidden="1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467</v>
      </c>
      <c r="E182" s="105">
        <v>42599</v>
      </c>
      <c r="F182" s="109" t="s">
        <v>482</v>
      </c>
      <c r="G182" s="296" t="s">
        <v>472</v>
      </c>
      <c r="H182" s="4" t="s">
        <v>366</v>
      </c>
      <c r="I182" s="133"/>
      <c r="J182" s="133"/>
      <c r="K182" s="401">
        <v>12160500</v>
      </c>
      <c r="L182" s="402" t="s">
        <v>24</v>
      </c>
      <c r="M182" s="402" t="s">
        <v>251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63"/>
    </row>
    <row r="183" spans="1:26" ht="15.75" hidden="1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640</v>
      </c>
      <c r="E183" s="105">
        <v>42599</v>
      </c>
      <c r="F183" s="109" t="s">
        <v>469</v>
      </c>
      <c r="G183" s="296" t="s">
        <v>472</v>
      </c>
      <c r="H183" s="4" t="s">
        <v>473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63"/>
    </row>
    <row r="184" spans="1:26" ht="15.75" hidden="1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995</v>
      </c>
      <c r="E184" s="105">
        <v>42599</v>
      </c>
      <c r="F184" s="109" t="s">
        <v>483</v>
      </c>
      <c r="G184" s="296" t="s">
        <v>472</v>
      </c>
      <c r="H184" s="4" t="s">
        <v>473</v>
      </c>
      <c r="I184" s="133"/>
      <c r="J184" s="133"/>
      <c r="K184" s="401">
        <v>13000000</v>
      </c>
      <c r="L184" s="402" t="s">
        <v>46</v>
      </c>
      <c r="M184" s="402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63"/>
    </row>
    <row r="185" spans="1:26" ht="15.75" hidden="1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578</v>
      </c>
      <c r="E185" s="110">
        <v>42599</v>
      </c>
      <c r="F185" s="109" t="s">
        <v>528</v>
      </c>
      <c r="G185" s="296" t="s">
        <v>725</v>
      </c>
      <c r="H185" s="4" t="s">
        <v>364</v>
      </c>
      <c r="I185" s="133">
        <v>309</v>
      </c>
      <c r="J185" s="133">
        <v>7500</v>
      </c>
      <c r="K185" s="13">
        <f>ROUND(I185*J185,0)</f>
        <v>2317500</v>
      </c>
      <c r="L185" s="113" t="s">
        <v>251</v>
      </c>
      <c r="M185" s="402" t="s">
        <v>168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63"/>
    </row>
    <row r="186" spans="1:26" ht="15.75" hidden="1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578</v>
      </c>
      <c r="E186" s="110">
        <v>42599</v>
      </c>
      <c r="F186" s="109" t="s">
        <v>494</v>
      </c>
      <c r="G186" s="296" t="s">
        <v>725</v>
      </c>
      <c r="H186" s="4" t="s">
        <v>364</v>
      </c>
      <c r="I186" s="133"/>
      <c r="J186" s="133"/>
      <c r="K186" s="13">
        <v>231750</v>
      </c>
      <c r="L186" s="113" t="s">
        <v>251</v>
      </c>
      <c r="M186" s="402" t="s">
        <v>350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63"/>
    </row>
    <row r="187" spans="1:26" ht="15.75" hidden="1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579</v>
      </c>
      <c r="E187" s="110">
        <v>42599</v>
      </c>
      <c r="F187" s="109" t="s">
        <v>529</v>
      </c>
      <c r="G187" s="296" t="s">
        <v>726</v>
      </c>
      <c r="H187" s="4" t="s">
        <v>615</v>
      </c>
      <c r="I187" s="133">
        <v>19</v>
      </c>
      <c r="J187" s="133">
        <v>10800</v>
      </c>
      <c r="K187" s="13">
        <f>ROUND(I187*J187,0)</f>
        <v>205200</v>
      </c>
      <c r="L187" s="113" t="s">
        <v>251</v>
      </c>
      <c r="M187" s="402" t="s">
        <v>168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63"/>
    </row>
    <row r="188" spans="1:26" ht="15.75" hidden="1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579</v>
      </c>
      <c r="E188" s="110">
        <v>42599</v>
      </c>
      <c r="F188" s="109" t="s">
        <v>530</v>
      </c>
      <c r="G188" s="296" t="s">
        <v>726</v>
      </c>
      <c r="H188" s="4" t="s">
        <v>615</v>
      </c>
      <c r="I188" s="133">
        <v>206</v>
      </c>
      <c r="J188" s="133">
        <v>9300</v>
      </c>
      <c r="K188" s="13">
        <f>ROUND(I188*J188,0)</f>
        <v>1915800</v>
      </c>
      <c r="L188" s="113" t="s">
        <v>251</v>
      </c>
      <c r="M188" s="402" t="s">
        <v>168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63"/>
    </row>
    <row r="189" spans="1:26" ht="15.75" hidden="1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579</v>
      </c>
      <c r="E189" s="110">
        <v>42599</v>
      </c>
      <c r="F189" s="109" t="s">
        <v>494</v>
      </c>
      <c r="G189" s="296" t="s">
        <v>726</v>
      </c>
      <c r="H189" s="4" t="s">
        <v>615</v>
      </c>
      <c r="I189" s="133"/>
      <c r="J189" s="133"/>
      <c r="K189" s="13">
        <v>212100</v>
      </c>
      <c r="L189" s="113" t="s">
        <v>251</v>
      </c>
      <c r="M189" s="402" t="s">
        <v>350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63"/>
    </row>
    <row r="190" spans="1:26" ht="15.75" hidden="1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996</v>
      </c>
      <c r="E190" s="110">
        <v>42599</v>
      </c>
      <c r="F190" s="111" t="s">
        <v>482</v>
      </c>
      <c r="G190" s="296" t="s">
        <v>726</v>
      </c>
      <c r="H190" s="4" t="s">
        <v>615</v>
      </c>
      <c r="I190" s="133"/>
      <c r="J190" s="133"/>
      <c r="K190" s="13">
        <v>2333100</v>
      </c>
      <c r="L190" s="113" t="s">
        <v>46</v>
      </c>
      <c r="M190" s="402" t="s">
        <v>251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63"/>
    </row>
    <row r="191" spans="1:26" ht="15.75" hidden="1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459</v>
      </c>
      <c r="E191" s="105">
        <v>42601</v>
      </c>
      <c r="F191" s="109" t="s">
        <v>442</v>
      </c>
      <c r="G191" s="296" t="s">
        <v>444</v>
      </c>
      <c r="H191" s="112" t="s">
        <v>440</v>
      </c>
      <c r="I191" s="133">
        <v>14330</v>
      </c>
      <c r="J191" s="133">
        <v>780</v>
      </c>
      <c r="K191" s="13">
        <f>ROUND(I191*J191,0)</f>
        <v>11177400</v>
      </c>
      <c r="L191" s="113" t="s">
        <v>155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63">
        <v>3</v>
      </c>
    </row>
    <row r="192" spans="1:26" ht="15.75" hidden="1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459</v>
      </c>
      <c r="E192" s="105">
        <v>42601</v>
      </c>
      <c r="F192" s="109" t="s">
        <v>443</v>
      </c>
      <c r="G192" s="296" t="s">
        <v>444</v>
      </c>
      <c r="H192" s="112" t="s">
        <v>440</v>
      </c>
      <c r="I192" s="133"/>
      <c r="J192" s="133"/>
      <c r="K192" s="401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63">
        <v>3</v>
      </c>
    </row>
    <row r="193" spans="1:26" ht="15.75" hidden="1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999</v>
      </c>
      <c r="E193" s="105">
        <v>42601</v>
      </c>
      <c r="F193" s="109" t="s">
        <v>469</v>
      </c>
      <c r="G193" s="296" t="s">
        <v>472</v>
      </c>
      <c r="H193" s="4" t="s">
        <v>473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6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468</v>
      </c>
      <c r="E194" s="105">
        <v>42601</v>
      </c>
      <c r="F194" s="109" t="s">
        <v>463</v>
      </c>
      <c r="G194" s="296" t="s">
        <v>472</v>
      </c>
      <c r="H194" s="4" t="s">
        <v>397</v>
      </c>
      <c r="I194" s="133"/>
      <c r="J194" s="133"/>
      <c r="K194" s="401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6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468</v>
      </c>
      <c r="E195" s="105">
        <v>42601</v>
      </c>
      <c r="F195" s="109" t="s">
        <v>478</v>
      </c>
      <c r="G195" s="296" t="s">
        <v>472</v>
      </c>
      <c r="H195" s="4"/>
      <c r="I195" s="133"/>
      <c r="J195" s="133"/>
      <c r="K195" s="401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6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468</v>
      </c>
      <c r="E196" s="105">
        <v>42601</v>
      </c>
      <c r="F196" s="109" t="s">
        <v>479</v>
      </c>
      <c r="G196" s="296" t="s">
        <v>472</v>
      </c>
      <c r="H196" s="4"/>
      <c r="I196" s="133"/>
      <c r="J196" s="133"/>
      <c r="K196" s="401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6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468</v>
      </c>
      <c r="E197" s="105">
        <v>42601</v>
      </c>
      <c r="F197" s="109" t="s">
        <v>463</v>
      </c>
      <c r="G197" s="296" t="s">
        <v>472</v>
      </c>
      <c r="H197" s="4" t="s">
        <v>396</v>
      </c>
      <c r="I197" s="133"/>
      <c r="J197" s="133"/>
      <c r="K197" s="401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6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468</v>
      </c>
      <c r="E198" s="105">
        <v>42601</v>
      </c>
      <c r="F198" s="109" t="s">
        <v>478</v>
      </c>
      <c r="G198" s="296" t="s">
        <v>472</v>
      </c>
      <c r="H198" s="4"/>
      <c r="I198" s="133"/>
      <c r="J198" s="133"/>
      <c r="K198" s="401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6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468</v>
      </c>
      <c r="E199" s="105">
        <v>42601</v>
      </c>
      <c r="F199" s="109" t="s">
        <v>479</v>
      </c>
      <c r="G199" s="296" t="s">
        <v>472</v>
      </c>
      <c r="H199" s="4"/>
      <c r="I199" s="133"/>
      <c r="J199" s="133"/>
      <c r="K199" s="401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6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468</v>
      </c>
      <c r="E200" s="105">
        <v>42601</v>
      </c>
      <c r="F200" s="109" t="s">
        <v>477</v>
      </c>
      <c r="G200" s="296" t="s">
        <v>472</v>
      </c>
      <c r="H200" s="112" t="s">
        <v>622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6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468</v>
      </c>
      <c r="E201" s="105">
        <v>42601</v>
      </c>
      <c r="F201" s="109" t="s">
        <v>478</v>
      </c>
      <c r="G201" s="296" t="s">
        <v>472</v>
      </c>
      <c r="H201" s="4"/>
      <c r="I201" s="133"/>
      <c r="J201" s="133"/>
      <c r="K201" s="401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6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468</v>
      </c>
      <c r="E202" s="105">
        <v>42601</v>
      </c>
      <c r="F202" s="109" t="s">
        <v>479</v>
      </c>
      <c r="G202" s="296" t="s">
        <v>472</v>
      </c>
      <c r="H202" s="4"/>
      <c r="I202" s="133"/>
      <c r="J202" s="133"/>
      <c r="K202" s="401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6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468</v>
      </c>
      <c r="E203" s="105">
        <v>42601</v>
      </c>
      <c r="F203" s="109" t="s">
        <v>484</v>
      </c>
      <c r="G203" s="296" t="s">
        <v>472</v>
      </c>
      <c r="H203" s="4"/>
      <c r="I203" s="133"/>
      <c r="J203" s="133"/>
      <c r="K203" s="401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6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468</v>
      </c>
      <c r="E204" s="105">
        <v>42601</v>
      </c>
      <c r="F204" s="109" t="s">
        <v>485</v>
      </c>
      <c r="G204" s="296" t="s">
        <v>472</v>
      </c>
      <c r="H204" s="4"/>
      <c r="I204" s="133"/>
      <c r="J204" s="133"/>
      <c r="K204" s="401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63">
        <v>3</v>
      </c>
    </row>
    <row r="205" spans="1:26" ht="15.75" hidden="1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580</v>
      </c>
      <c r="E205" s="110">
        <v>42601</v>
      </c>
      <c r="F205" s="109" t="s">
        <v>530</v>
      </c>
      <c r="G205" s="296" t="s">
        <v>727</v>
      </c>
      <c r="H205" s="4" t="s">
        <v>549</v>
      </c>
      <c r="I205" s="133">
        <v>166</v>
      </c>
      <c r="J205" s="133">
        <v>10200</v>
      </c>
      <c r="K205" s="13">
        <f>ROUND(I205*J205,0)</f>
        <v>1693200</v>
      </c>
      <c r="L205" s="113" t="s">
        <v>251</v>
      </c>
      <c r="M205" s="402" t="s">
        <v>168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63"/>
    </row>
    <row r="206" spans="1:26" ht="15.75" hidden="1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580</v>
      </c>
      <c r="E206" s="110">
        <v>42601</v>
      </c>
      <c r="F206" s="109" t="s">
        <v>531</v>
      </c>
      <c r="G206" s="296" t="s">
        <v>727</v>
      </c>
      <c r="H206" s="4" t="s">
        <v>549</v>
      </c>
      <c r="I206" s="133"/>
      <c r="J206" s="133"/>
      <c r="K206" s="13">
        <v>169320</v>
      </c>
      <c r="L206" s="113" t="s">
        <v>251</v>
      </c>
      <c r="M206" s="402" t="s">
        <v>350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63"/>
    </row>
    <row r="207" spans="1:26" ht="15.75" hidden="1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997</v>
      </c>
      <c r="E207" s="110">
        <v>42601</v>
      </c>
      <c r="F207" s="111" t="s">
        <v>482</v>
      </c>
      <c r="G207" s="296" t="s">
        <v>727</v>
      </c>
      <c r="H207" s="4" t="s">
        <v>549</v>
      </c>
      <c r="I207" s="133"/>
      <c r="J207" s="133"/>
      <c r="K207" s="13">
        <v>1862520</v>
      </c>
      <c r="L207" s="113" t="s">
        <v>46</v>
      </c>
      <c r="M207" s="402" t="s">
        <v>251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63"/>
    </row>
    <row r="208" spans="1:26" ht="15.75" hidden="1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581</v>
      </c>
      <c r="E208" s="110">
        <v>42602</v>
      </c>
      <c r="F208" s="109" t="s">
        <v>508</v>
      </c>
      <c r="G208" s="296" t="s">
        <v>728</v>
      </c>
      <c r="H208" s="4" t="s">
        <v>688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251</v>
      </c>
      <c r="M208" s="402" t="s">
        <v>168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63"/>
    </row>
    <row r="209" spans="1:26" ht="15.75" hidden="1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581</v>
      </c>
      <c r="E209" s="110">
        <v>42602</v>
      </c>
      <c r="F209" s="109" t="s">
        <v>494</v>
      </c>
      <c r="G209" s="296" t="s">
        <v>728</v>
      </c>
      <c r="H209" s="4" t="s">
        <v>688</v>
      </c>
      <c r="I209" s="133"/>
      <c r="J209" s="133"/>
      <c r="K209" s="13">
        <v>554600</v>
      </c>
      <c r="L209" s="113" t="s">
        <v>251</v>
      </c>
      <c r="M209" s="402" t="s">
        <v>350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63"/>
    </row>
    <row r="210" spans="1:26" ht="15.75" hidden="1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998</v>
      </c>
      <c r="E210" s="110">
        <v>42602</v>
      </c>
      <c r="F210" s="111" t="s">
        <v>482</v>
      </c>
      <c r="G210" s="296" t="s">
        <v>1029</v>
      </c>
      <c r="H210" s="4" t="s">
        <v>688</v>
      </c>
      <c r="I210" s="133"/>
      <c r="J210" s="133"/>
      <c r="K210" s="13">
        <v>19463510</v>
      </c>
      <c r="L210" s="113" t="s">
        <v>46</v>
      </c>
      <c r="M210" s="402" t="s">
        <v>251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6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1000</v>
      </c>
      <c r="E211" s="105">
        <v>42604</v>
      </c>
      <c r="F211" s="109" t="s">
        <v>437</v>
      </c>
      <c r="G211" s="296" t="s">
        <v>439</v>
      </c>
      <c r="H211" s="112" t="s">
        <v>435</v>
      </c>
      <c r="I211" s="133"/>
      <c r="J211" s="133"/>
      <c r="K211" s="401">
        <v>1840000</v>
      </c>
      <c r="L211" s="402" t="s">
        <v>82</v>
      </c>
      <c r="M211" s="402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6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1000</v>
      </c>
      <c r="E212" s="105">
        <v>42604</v>
      </c>
      <c r="F212" s="109" t="s">
        <v>438</v>
      </c>
      <c r="G212" s="296" t="s">
        <v>439</v>
      </c>
      <c r="H212" s="112" t="s">
        <v>435</v>
      </c>
      <c r="I212" s="133"/>
      <c r="J212" s="133"/>
      <c r="K212" s="401">
        <v>184000</v>
      </c>
      <c r="L212" s="402" t="s">
        <v>9</v>
      </c>
      <c r="M212" s="402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63">
        <v>3</v>
      </c>
    </row>
    <row r="213" spans="1:26" ht="15.75" hidden="1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582</v>
      </c>
      <c r="E213" s="110">
        <v>42605</v>
      </c>
      <c r="F213" s="109" t="s">
        <v>683</v>
      </c>
      <c r="G213" s="296" t="s">
        <v>729</v>
      </c>
      <c r="H213" s="4" t="s">
        <v>367</v>
      </c>
      <c r="I213" s="133">
        <v>58</v>
      </c>
      <c r="J213" s="133">
        <v>16070</v>
      </c>
      <c r="K213" s="13">
        <f>ROUND(I213*J213,0)</f>
        <v>932060</v>
      </c>
      <c r="L213" s="113" t="s">
        <v>251</v>
      </c>
      <c r="M213" s="402" t="s">
        <v>168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63"/>
    </row>
    <row r="214" spans="1:26" ht="15.75" hidden="1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582</v>
      </c>
      <c r="E214" s="110">
        <v>42605</v>
      </c>
      <c r="F214" s="109" t="s">
        <v>496</v>
      </c>
      <c r="G214" s="296" t="s">
        <v>729</v>
      </c>
      <c r="H214" s="4" t="s">
        <v>367</v>
      </c>
      <c r="I214" s="133">
        <v>56</v>
      </c>
      <c r="J214" s="133">
        <v>73100</v>
      </c>
      <c r="K214" s="13">
        <f>ROUND(I214*J214,0)</f>
        <v>4093600</v>
      </c>
      <c r="L214" s="113" t="s">
        <v>251</v>
      </c>
      <c r="M214" s="402" t="s">
        <v>168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63"/>
    </row>
    <row r="215" spans="1:26" ht="15.75" hidden="1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582</v>
      </c>
      <c r="E215" s="110">
        <v>42605</v>
      </c>
      <c r="F215" s="109" t="s">
        <v>494</v>
      </c>
      <c r="G215" s="296" t="s">
        <v>729</v>
      </c>
      <c r="H215" s="4" t="s">
        <v>367</v>
      </c>
      <c r="I215" s="133"/>
      <c r="J215" s="133"/>
      <c r="K215" s="13">
        <v>502566</v>
      </c>
      <c r="L215" s="113" t="s">
        <v>251</v>
      </c>
      <c r="M215" s="402" t="s">
        <v>350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63"/>
    </row>
    <row r="216" spans="1:26" ht="15.75" hidden="1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1003</v>
      </c>
      <c r="E216" s="110">
        <v>42605</v>
      </c>
      <c r="F216" s="111" t="s">
        <v>482</v>
      </c>
      <c r="G216" s="296" t="s">
        <v>729</v>
      </c>
      <c r="H216" s="4" t="s">
        <v>367</v>
      </c>
      <c r="I216" s="133"/>
      <c r="J216" s="133"/>
      <c r="K216" s="13">
        <v>5528226</v>
      </c>
      <c r="L216" s="113" t="s">
        <v>46</v>
      </c>
      <c r="M216" s="402" t="s">
        <v>251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63"/>
    </row>
    <row r="217" spans="1:26" ht="15.75" hidden="1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467</v>
      </c>
      <c r="E217" s="110">
        <v>42606</v>
      </c>
      <c r="F217" s="109" t="s">
        <v>482</v>
      </c>
      <c r="G217" s="296" t="s">
        <v>472</v>
      </c>
      <c r="H217" s="4" t="s">
        <v>370</v>
      </c>
      <c r="I217" s="133"/>
      <c r="J217" s="133"/>
      <c r="K217" s="401">
        <v>9389600</v>
      </c>
      <c r="L217" s="402" t="s">
        <v>24</v>
      </c>
      <c r="M217" s="402" t="s">
        <v>251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63"/>
    </row>
    <row r="218" spans="1:26" ht="15.75" hidden="1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467</v>
      </c>
      <c r="E218" s="110">
        <v>42607</v>
      </c>
      <c r="F218" s="109" t="s">
        <v>474</v>
      </c>
      <c r="G218" s="296" t="s">
        <v>472</v>
      </c>
      <c r="H218" s="4"/>
      <c r="I218" s="133"/>
      <c r="J218" s="133"/>
      <c r="K218" s="401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63"/>
    </row>
    <row r="219" spans="1:26" ht="15.75" hidden="1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467</v>
      </c>
      <c r="E219" s="110">
        <v>42607</v>
      </c>
      <c r="F219" s="109" t="s">
        <v>482</v>
      </c>
      <c r="G219" s="296" t="s">
        <v>472</v>
      </c>
      <c r="H219" s="4" t="s">
        <v>372</v>
      </c>
      <c r="I219" s="133"/>
      <c r="J219" s="133"/>
      <c r="K219" s="401">
        <v>12569920</v>
      </c>
      <c r="L219" s="402" t="s">
        <v>24</v>
      </c>
      <c r="M219" s="402" t="s">
        <v>251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63"/>
    </row>
    <row r="220" spans="1:26" ht="15.75" hidden="1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1004</v>
      </c>
      <c r="E220" s="110">
        <v>42607</v>
      </c>
      <c r="F220" s="109" t="s">
        <v>483</v>
      </c>
      <c r="G220" s="296" t="s">
        <v>472</v>
      </c>
      <c r="H220" s="4" t="s">
        <v>486</v>
      </c>
      <c r="I220" s="133"/>
      <c r="J220" s="133"/>
      <c r="K220" s="401">
        <v>9500000</v>
      </c>
      <c r="L220" s="402" t="s">
        <v>46</v>
      </c>
      <c r="M220" s="402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6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468</v>
      </c>
      <c r="E221" s="110">
        <v>42607</v>
      </c>
      <c r="F221" s="109" t="s">
        <v>487</v>
      </c>
      <c r="G221" s="296" t="s">
        <v>472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6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468</v>
      </c>
      <c r="E222" s="110">
        <v>42607</v>
      </c>
      <c r="F222" s="109" t="s">
        <v>488</v>
      </c>
      <c r="G222" s="296" t="s">
        <v>472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6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468</v>
      </c>
      <c r="E223" s="110">
        <v>42607</v>
      </c>
      <c r="F223" s="109" t="s">
        <v>475</v>
      </c>
      <c r="G223" s="296" t="s">
        <v>472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6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468</v>
      </c>
      <c r="E224" s="110">
        <v>42607</v>
      </c>
      <c r="F224" s="109" t="s">
        <v>476</v>
      </c>
      <c r="G224" s="296" t="s">
        <v>472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63">
        <v>3</v>
      </c>
    </row>
    <row r="225" spans="1:26" ht="15.75" hidden="1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583</v>
      </c>
      <c r="E225" s="110">
        <v>42607</v>
      </c>
      <c r="F225" s="109" t="s">
        <v>651</v>
      </c>
      <c r="G225" s="296" t="s">
        <v>730</v>
      </c>
      <c r="H225" s="4" t="s">
        <v>369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251</v>
      </c>
      <c r="M225" s="402" t="s">
        <v>168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63"/>
    </row>
    <row r="226" spans="1:26" ht="15.75" hidden="1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583</v>
      </c>
      <c r="E226" s="110">
        <v>42607</v>
      </c>
      <c r="F226" s="109" t="s">
        <v>494</v>
      </c>
      <c r="G226" s="296" t="s">
        <v>730</v>
      </c>
      <c r="H226" s="4" t="s">
        <v>369</v>
      </c>
      <c r="I226" s="133"/>
      <c r="J226" s="133"/>
      <c r="K226" s="13">
        <v>1570400</v>
      </c>
      <c r="L226" s="113" t="s">
        <v>251</v>
      </c>
      <c r="M226" s="402" t="s">
        <v>350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63"/>
    </row>
    <row r="227" spans="1:26" ht="15.75" hidden="1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584</v>
      </c>
      <c r="E227" s="110">
        <v>42607</v>
      </c>
      <c r="F227" s="109" t="s">
        <v>651</v>
      </c>
      <c r="G227" s="296" t="s">
        <v>731</v>
      </c>
      <c r="H227" s="4" t="s">
        <v>369</v>
      </c>
      <c r="I227" s="133">
        <v>110</v>
      </c>
      <c r="J227" s="133">
        <v>15100</v>
      </c>
      <c r="K227" s="13">
        <f>ROUND(I227*J227,0)</f>
        <v>1661000</v>
      </c>
      <c r="L227" s="113" t="s">
        <v>251</v>
      </c>
      <c r="M227" s="402" t="s">
        <v>168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63"/>
    </row>
    <row r="228" spans="1:26" ht="15.75" hidden="1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584</v>
      </c>
      <c r="E228" s="110">
        <v>42607</v>
      </c>
      <c r="F228" s="109" t="s">
        <v>494</v>
      </c>
      <c r="G228" s="296" t="s">
        <v>731</v>
      </c>
      <c r="H228" s="4" t="s">
        <v>369</v>
      </c>
      <c r="I228" s="133"/>
      <c r="J228" s="133"/>
      <c r="K228" s="13">
        <v>166100</v>
      </c>
      <c r="L228" s="113" t="s">
        <v>251</v>
      </c>
      <c r="M228" s="402" t="s">
        <v>350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63"/>
    </row>
    <row r="229" spans="1:26" ht="15.75" hidden="1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1009</v>
      </c>
      <c r="E229" s="110">
        <v>42608</v>
      </c>
      <c r="F229" s="109" t="s">
        <v>483</v>
      </c>
      <c r="G229" s="296" t="s">
        <v>472</v>
      </c>
      <c r="H229" s="4" t="s">
        <v>473</v>
      </c>
      <c r="I229" s="133"/>
      <c r="J229" s="133"/>
      <c r="K229" s="401">
        <v>12600000</v>
      </c>
      <c r="L229" s="402" t="s">
        <v>46</v>
      </c>
      <c r="M229" s="402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63"/>
    </row>
    <row r="230" spans="1:26" ht="15.75" hidden="1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585</v>
      </c>
      <c r="E230" s="110">
        <v>42608</v>
      </c>
      <c r="F230" s="109" t="s">
        <v>532</v>
      </c>
      <c r="G230" s="296" t="s">
        <v>732</v>
      </c>
      <c r="H230" s="112" t="s">
        <v>619</v>
      </c>
      <c r="I230" s="133">
        <v>120</v>
      </c>
      <c r="J230" s="133">
        <v>19000</v>
      </c>
      <c r="K230" s="13">
        <f>ROUND(I230*J230,0)</f>
        <v>2280000</v>
      </c>
      <c r="L230" s="113" t="s">
        <v>251</v>
      </c>
      <c r="M230" s="402" t="s">
        <v>168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63"/>
    </row>
    <row r="231" spans="1:26" ht="15.75" hidden="1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585</v>
      </c>
      <c r="E231" s="110">
        <v>42608</v>
      </c>
      <c r="F231" s="109" t="s">
        <v>533</v>
      </c>
      <c r="G231" s="296" t="s">
        <v>732</v>
      </c>
      <c r="H231" s="112" t="s">
        <v>619</v>
      </c>
      <c r="I231" s="133">
        <v>240</v>
      </c>
      <c r="J231" s="133">
        <v>1750</v>
      </c>
      <c r="K231" s="13">
        <f>ROUND(I231*J231,0)</f>
        <v>420000</v>
      </c>
      <c r="L231" s="113" t="s">
        <v>251</v>
      </c>
      <c r="M231" s="402" t="s">
        <v>168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63"/>
    </row>
    <row r="232" spans="1:26" ht="15.75" hidden="1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585</v>
      </c>
      <c r="E232" s="110">
        <v>42608</v>
      </c>
      <c r="F232" s="109" t="s">
        <v>494</v>
      </c>
      <c r="G232" s="296" t="s">
        <v>732</v>
      </c>
      <c r="H232" s="112" t="s">
        <v>619</v>
      </c>
      <c r="I232" s="133"/>
      <c r="J232" s="133"/>
      <c r="K232" s="13">
        <v>270000</v>
      </c>
      <c r="L232" s="113" t="s">
        <v>251</v>
      </c>
      <c r="M232" s="402" t="s">
        <v>350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63"/>
    </row>
    <row r="233" spans="1:26" ht="15.75" hidden="1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1010</v>
      </c>
      <c r="E233" s="110">
        <v>42608</v>
      </c>
      <c r="F233" s="111" t="s">
        <v>482</v>
      </c>
      <c r="G233" s="296" t="s">
        <v>732</v>
      </c>
      <c r="H233" s="112" t="s">
        <v>619</v>
      </c>
      <c r="I233" s="133"/>
      <c r="J233" s="133"/>
      <c r="K233" s="13">
        <v>2970000</v>
      </c>
      <c r="L233" s="113" t="s">
        <v>46</v>
      </c>
      <c r="M233" s="402" t="s">
        <v>251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63"/>
    </row>
    <row r="234" spans="1:26" ht="15.75" hidden="1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586</v>
      </c>
      <c r="E234" s="110">
        <v>42608</v>
      </c>
      <c r="F234" s="109" t="s">
        <v>513</v>
      </c>
      <c r="G234" s="296" t="s">
        <v>733</v>
      </c>
      <c r="H234" s="4" t="s">
        <v>364</v>
      </c>
      <c r="I234" s="133">
        <v>513</v>
      </c>
      <c r="J234" s="133">
        <v>10500</v>
      </c>
      <c r="K234" s="13">
        <f>ROUND(I234*J234,0)</f>
        <v>5386500</v>
      </c>
      <c r="L234" s="113" t="s">
        <v>251</v>
      </c>
      <c r="M234" s="402" t="s">
        <v>168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63"/>
    </row>
    <row r="235" spans="1:26" ht="15.75" hidden="1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586</v>
      </c>
      <c r="E235" s="110">
        <v>42608</v>
      </c>
      <c r="F235" s="109" t="s">
        <v>494</v>
      </c>
      <c r="G235" s="296" t="s">
        <v>733</v>
      </c>
      <c r="H235" s="4" t="s">
        <v>364</v>
      </c>
      <c r="I235" s="133"/>
      <c r="J235" s="133"/>
      <c r="K235" s="13">
        <v>538650</v>
      </c>
      <c r="L235" s="113" t="s">
        <v>251</v>
      </c>
      <c r="M235" s="402" t="s">
        <v>350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63"/>
    </row>
    <row r="236" spans="1:26" ht="15.75" hidden="1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587</v>
      </c>
      <c r="E236" s="110">
        <v>42608</v>
      </c>
      <c r="F236" s="109" t="s">
        <v>534</v>
      </c>
      <c r="G236" s="296" t="s">
        <v>734</v>
      </c>
      <c r="H236" s="4" t="s">
        <v>620</v>
      </c>
      <c r="I236" s="133">
        <v>1000</v>
      </c>
      <c r="J236" s="133">
        <v>7700</v>
      </c>
      <c r="K236" s="13">
        <f>ROUND(I236*J236,0)</f>
        <v>7700000</v>
      </c>
      <c r="L236" s="113" t="s">
        <v>251</v>
      </c>
      <c r="M236" s="402" t="s">
        <v>168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63"/>
    </row>
    <row r="237" spans="1:26" ht="15.75" hidden="1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587</v>
      </c>
      <c r="E237" s="110">
        <v>42608</v>
      </c>
      <c r="F237" s="109" t="s">
        <v>535</v>
      </c>
      <c r="G237" s="296" t="s">
        <v>734</v>
      </c>
      <c r="H237" s="4" t="s">
        <v>620</v>
      </c>
      <c r="I237" s="133">
        <v>970</v>
      </c>
      <c r="J237" s="133">
        <v>6400</v>
      </c>
      <c r="K237" s="13">
        <f>ROUND(I237*J237,0)</f>
        <v>6208000</v>
      </c>
      <c r="L237" s="113" t="s">
        <v>251</v>
      </c>
      <c r="M237" s="402" t="s">
        <v>168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63"/>
    </row>
    <row r="238" spans="1:26" ht="15.75" hidden="1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587</v>
      </c>
      <c r="E238" s="110">
        <v>42608</v>
      </c>
      <c r="F238" s="109" t="s">
        <v>494</v>
      </c>
      <c r="G238" s="296" t="s">
        <v>734</v>
      </c>
      <c r="H238" s="4" t="s">
        <v>620</v>
      </c>
      <c r="I238" s="133"/>
      <c r="J238" s="133"/>
      <c r="K238" s="13">
        <v>1390800</v>
      </c>
      <c r="L238" s="113" t="s">
        <v>251</v>
      </c>
      <c r="M238" s="402" t="s">
        <v>350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63"/>
    </row>
    <row r="239" spans="1:26" ht="15.75" hidden="1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1014</v>
      </c>
      <c r="E239" s="110">
        <v>42608</v>
      </c>
      <c r="F239" s="111" t="s">
        <v>482</v>
      </c>
      <c r="G239" s="296" t="s">
        <v>734</v>
      </c>
      <c r="H239" s="4" t="s">
        <v>620</v>
      </c>
      <c r="I239" s="133"/>
      <c r="J239" s="133"/>
      <c r="K239" s="13">
        <v>15298800</v>
      </c>
      <c r="L239" s="113" t="s">
        <v>46</v>
      </c>
      <c r="M239" s="402" t="s">
        <v>251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63"/>
    </row>
    <row r="240" spans="1:26" ht="15.75" hidden="1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588</v>
      </c>
      <c r="E240" s="110">
        <v>42609</v>
      </c>
      <c r="F240" s="109" t="s">
        <v>536</v>
      </c>
      <c r="G240" s="296" t="s">
        <v>735</v>
      </c>
      <c r="H240" s="4" t="s">
        <v>616</v>
      </c>
      <c r="I240" s="133">
        <v>203</v>
      </c>
      <c r="J240" s="133">
        <v>6400</v>
      </c>
      <c r="K240" s="13">
        <f>ROUND(I240*J240,0)</f>
        <v>1299200</v>
      </c>
      <c r="L240" s="113" t="s">
        <v>251</v>
      </c>
      <c r="M240" s="402" t="s">
        <v>168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63"/>
    </row>
    <row r="241" spans="1:26" ht="15.75" hidden="1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588</v>
      </c>
      <c r="E241" s="110">
        <v>42609</v>
      </c>
      <c r="F241" s="109" t="s">
        <v>494</v>
      </c>
      <c r="G241" s="296" t="s">
        <v>735</v>
      </c>
      <c r="H241" s="4" t="s">
        <v>616</v>
      </c>
      <c r="I241" s="133"/>
      <c r="J241" s="133"/>
      <c r="K241" s="13">
        <v>129920</v>
      </c>
      <c r="L241" s="113" t="s">
        <v>251</v>
      </c>
      <c r="M241" s="402" t="s">
        <v>350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63"/>
    </row>
    <row r="242" spans="1:26" ht="15.75" hidden="1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589</v>
      </c>
      <c r="E242" s="110">
        <v>42611</v>
      </c>
      <c r="F242" s="109" t="s">
        <v>527</v>
      </c>
      <c r="G242" s="296" t="s">
        <v>736</v>
      </c>
      <c r="H242" s="4" t="s">
        <v>367</v>
      </c>
      <c r="I242" s="133">
        <v>160</v>
      </c>
      <c r="J242" s="133">
        <v>47449</v>
      </c>
      <c r="K242" s="13">
        <f>ROUND(I242*J242,0)</f>
        <v>7591840</v>
      </c>
      <c r="L242" s="113" t="s">
        <v>251</v>
      </c>
      <c r="M242" s="402" t="s">
        <v>168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63"/>
    </row>
    <row r="243" spans="1:26" ht="15.75" hidden="1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589</v>
      </c>
      <c r="E243" s="110">
        <v>42611</v>
      </c>
      <c r="F243" s="109" t="s">
        <v>494</v>
      </c>
      <c r="G243" s="296" t="s">
        <v>736</v>
      </c>
      <c r="H243" s="4" t="s">
        <v>367</v>
      </c>
      <c r="I243" s="133"/>
      <c r="J243" s="133"/>
      <c r="K243" s="13">
        <v>759184</v>
      </c>
      <c r="L243" s="113" t="s">
        <v>251</v>
      </c>
      <c r="M243" s="402" t="s">
        <v>350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63"/>
    </row>
    <row r="244" spans="1:26" ht="15.75" hidden="1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1015</v>
      </c>
      <c r="E244" s="110">
        <v>42611</v>
      </c>
      <c r="F244" s="111" t="s">
        <v>482</v>
      </c>
      <c r="G244" s="296" t="s">
        <v>736</v>
      </c>
      <c r="H244" s="4" t="s">
        <v>367</v>
      </c>
      <c r="I244" s="133"/>
      <c r="J244" s="133"/>
      <c r="K244" s="13">
        <v>8351024</v>
      </c>
      <c r="L244" s="113" t="s">
        <v>46</v>
      </c>
      <c r="M244" s="402" t="s">
        <v>251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63"/>
    </row>
    <row r="245" spans="1:26" ht="15.75" hidden="1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590</v>
      </c>
      <c r="E245" s="110">
        <v>42612</v>
      </c>
      <c r="F245" s="109" t="s">
        <v>368</v>
      </c>
      <c r="G245" s="296" t="s">
        <v>737</v>
      </c>
      <c r="H245" s="4" t="s">
        <v>618</v>
      </c>
      <c r="I245" s="133">
        <v>500</v>
      </c>
      <c r="J245" s="133">
        <v>12950</v>
      </c>
      <c r="K245" s="13">
        <f>ROUND(I245*J245,0)</f>
        <v>6475000</v>
      </c>
      <c r="L245" s="113" t="s">
        <v>251</v>
      </c>
      <c r="M245" s="402" t="s">
        <v>168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63"/>
    </row>
    <row r="246" spans="1:26" ht="15.75" hidden="1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590</v>
      </c>
      <c r="E246" s="110">
        <v>42612</v>
      </c>
      <c r="F246" s="109" t="s">
        <v>537</v>
      </c>
      <c r="G246" s="296" t="s">
        <v>737</v>
      </c>
      <c r="H246" s="4" t="s">
        <v>618</v>
      </c>
      <c r="I246" s="133"/>
      <c r="J246" s="133"/>
      <c r="K246" s="13">
        <v>647500</v>
      </c>
      <c r="L246" s="113" t="s">
        <v>251</v>
      </c>
      <c r="M246" s="402" t="s">
        <v>350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63"/>
    </row>
    <row r="247" spans="1:26" ht="15.75" hidden="1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1016</v>
      </c>
      <c r="E247" s="110">
        <v>42612</v>
      </c>
      <c r="F247" s="111" t="s">
        <v>482</v>
      </c>
      <c r="G247" s="296" t="s">
        <v>1028</v>
      </c>
      <c r="H247" s="4" t="s">
        <v>618</v>
      </c>
      <c r="I247" s="133"/>
      <c r="J247" s="133"/>
      <c r="K247" s="13">
        <v>12640100</v>
      </c>
      <c r="L247" s="113" t="s">
        <v>46</v>
      </c>
      <c r="M247" s="402" t="s">
        <v>251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63"/>
    </row>
    <row r="248" spans="1:26" ht="15.75" hidden="1" customHeight="1">
      <c r="A248" s="120" t="str">
        <f>IF(B248&lt;&gt;"",IF(AND(B248&gt;=_TM1,B248&lt;=_TM2,OR(TH!L248="1111",TH!M248="1111")),TH!D248,""),"")</f>
        <v/>
      </c>
      <c r="B248" s="580">
        <f t="shared" si="9"/>
        <v>8</v>
      </c>
      <c r="C248" s="557">
        <f t="shared" si="10"/>
        <v>42613</v>
      </c>
      <c r="D248" s="557" t="s">
        <v>323</v>
      </c>
      <c r="E248" s="557">
        <v>42613</v>
      </c>
      <c r="F248" s="560" t="s">
        <v>819</v>
      </c>
      <c r="G248" s="576"/>
      <c r="H248" s="577"/>
      <c r="I248" s="559"/>
      <c r="J248" s="559"/>
      <c r="K248" s="562">
        <v>4405000</v>
      </c>
      <c r="L248" s="578" t="s">
        <v>82</v>
      </c>
      <c r="M248" s="578" t="s">
        <v>254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79"/>
    </row>
    <row r="249" spans="1:26" ht="15.75" hidden="1" customHeight="1">
      <c r="A249" s="120" t="str">
        <f>IF(B249&lt;&gt;"",IF(AND(B249&gt;=_TM1,B249&lt;=_TM2,OR(TH!L249="1111",TH!M249="1111")),TH!D249,""),"")</f>
        <v/>
      </c>
      <c r="B249" s="580">
        <f t="shared" si="9"/>
        <v>8</v>
      </c>
      <c r="C249" s="557">
        <f t="shared" si="10"/>
        <v>42613</v>
      </c>
      <c r="D249" s="557" t="s">
        <v>323</v>
      </c>
      <c r="E249" s="557">
        <v>42613</v>
      </c>
      <c r="F249" s="560" t="s">
        <v>820</v>
      </c>
      <c r="G249" s="576"/>
      <c r="H249" s="577"/>
      <c r="I249" s="559"/>
      <c r="J249" s="559"/>
      <c r="K249" s="562">
        <v>14020000</v>
      </c>
      <c r="L249" s="578" t="s">
        <v>159</v>
      </c>
      <c r="M249" s="578" t="s">
        <v>254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79"/>
    </row>
    <row r="250" spans="1:26" ht="15.75" hidden="1" customHeight="1">
      <c r="A250" s="120" t="str">
        <f>IF(B250&lt;&gt;"",IF(AND(B250&gt;=_TM1,B250&lt;=_TM2,OR(TH!L250="1111",TH!M250="1111")),TH!D250,""),"")</f>
        <v/>
      </c>
      <c r="B250" s="580">
        <f t="shared" si="9"/>
        <v>8</v>
      </c>
      <c r="C250" s="557">
        <f t="shared" si="10"/>
        <v>42613</v>
      </c>
      <c r="D250" s="557" t="s">
        <v>1001</v>
      </c>
      <c r="E250" s="557">
        <v>42613</v>
      </c>
      <c r="F250" s="560" t="str">
        <f>"Thanh toán tiền lương tháng "&amp;MONTH(E250)&amp;"/"&amp;YEAR(E250)</f>
        <v>Thanh toán tiền lương tháng 8/2016</v>
      </c>
      <c r="G250" s="576"/>
      <c r="H250" s="577" t="s">
        <v>794</v>
      </c>
      <c r="I250" s="559"/>
      <c r="J250" s="559"/>
      <c r="K250" s="562">
        <f>K248+K249</f>
        <v>18425000</v>
      </c>
      <c r="L250" s="578" t="s">
        <v>254</v>
      </c>
      <c r="M250" s="57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79"/>
    </row>
    <row r="251" spans="1:26" ht="15.75" hidden="1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461</v>
      </c>
      <c r="E251" s="105">
        <v>42613</v>
      </c>
      <c r="F251" s="109" t="s">
        <v>442</v>
      </c>
      <c r="G251" s="296" t="s">
        <v>445</v>
      </c>
      <c r="H251" s="112" t="s">
        <v>440</v>
      </c>
      <c r="I251" s="133">
        <v>12830</v>
      </c>
      <c r="J251" s="133">
        <v>780</v>
      </c>
      <c r="K251" s="13">
        <f>ROUND(I251*J251,0)</f>
        <v>10007400</v>
      </c>
      <c r="L251" s="113" t="s">
        <v>155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63">
        <v>3</v>
      </c>
    </row>
    <row r="252" spans="1:26" ht="15.75" hidden="1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461</v>
      </c>
      <c r="E252" s="105">
        <v>42613</v>
      </c>
      <c r="F252" s="109" t="s">
        <v>443</v>
      </c>
      <c r="G252" s="296" t="s">
        <v>445</v>
      </c>
      <c r="H252" s="112" t="s">
        <v>440</v>
      </c>
      <c r="I252" s="133"/>
      <c r="J252" s="133"/>
      <c r="K252" s="401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6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1002</v>
      </c>
      <c r="E253" s="105">
        <v>42613</v>
      </c>
      <c r="F253" s="109" t="s">
        <v>463</v>
      </c>
      <c r="G253" s="296" t="s">
        <v>445</v>
      </c>
      <c r="H253" s="112" t="s">
        <v>440</v>
      </c>
      <c r="I253" s="133"/>
      <c r="J253" s="133"/>
      <c r="K253" s="401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6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1005</v>
      </c>
      <c r="E254" s="105">
        <v>42613</v>
      </c>
      <c r="F254" s="109" t="s">
        <v>624</v>
      </c>
      <c r="G254" s="296"/>
      <c r="H254" s="112" t="s">
        <v>486</v>
      </c>
      <c r="I254" s="133"/>
      <c r="J254" s="133"/>
      <c r="K254" s="401">
        <f>ROUND((15*15000+5*25000+6*30000+2*40000)/1.1,0)</f>
        <v>554545</v>
      </c>
      <c r="L254" s="402" t="s">
        <v>253</v>
      </c>
      <c r="M254" s="402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6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1005</v>
      </c>
      <c r="E255" s="105">
        <v>42613</v>
      </c>
      <c r="F255" s="109" t="s">
        <v>625</v>
      </c>
      <c r="G255" s="296"/>
      <c r="H255" s="112"/>
      <c r="I255" s="133"/>
      <c r="J255" s="133"/>
      <c r="K255" s="401">
        <v>55455</v>
      </c>
      <c r="L255" s="402" t="s">
        <v>9</v>
      </c>
      <c r="M255" s="402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63">
        <v>3</v>
      </c>
    </row>
    <row r="256" spans="1:26" ht="15.75" hidden="1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467</v>
      </c>
      <c r="E256" s="110">
        <v>42613</v>
      </c>
      <c r="F256" s="109" t="s">
        <v>482</v>
      </c>
      <c r="G256" s="296" t="s">
        <v>472</v>
      </c>
      <c r="H256" s="4" t="s">
        <v>369</v>
      </c>
      <c r="I256" s="133"/>
      <c r="J256" s="133"/>
      <c r="K256" s="401">
        <v>22752620</v>
      </c>
      <c r="L256" s="402" t="s">
        <v>24</v>
      </c>
      <c r="M256" s="402" t="s">
        <v>251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63"/>
    </row>
    <row r="257" spans="1:26" ht="15.75" hidden="1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591</v>
      </c>
      <c r="E257" s="110">
        <v>42613</v>
      </c>
      <c r="F257" s="109" t="s">
        <v>500</v>
      </c>
      <c r="G257" s="296" t="s">
        <v>738</v>
      </c>
      <c r="H257" s="4" t="s">
        <v>365</v>
      </c>
      <c r="I257" s="133">
        <v>1500</v>
      </c>
      <c r="J257" s="133">
        <v>13800</v>
      </c>
      <c r="K257" s="13">
        <f>ROUND(I257*J257,0)</f>
        <v>20700000</v>
      </c>
      <c r="L257" s="113" t="s">
        <v>251</v>
      </c>
      <c r="M257" s="402" t="s">
        <v>168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63"/>
    </row>
    <row r="258" spans="1:26" ht="15.75" hidden="1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591</v>
      </c>
      <c r="E258" s="110">
        <v>42613</v>
      </c>
      <c r="F258" s="109" t="s">
        <v>500</v>
      </c>
      <c r="G258" s="296" t="s">
        <v>738</v>
      </c>
      <c r="H258" s="4" t="s">
        <v>365</v>
      </c>
      <c r="I258" s="133">
        <v>400</v>
      </c>
      <c r="J258" s="133">
        <v>13400</v>
      </c>
      <c r="K258" s="13">
        <f>ROUND(I258*J258,0)</f>
        <v>5360000</v>
      </c>
      <c r="L258" s="113" t="s">
        <v>251</v>
      </c>
      <c r="M258" s="402" t="s">
        <v>168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63"/>
    </row>
    <row r="259" spans="1:26" ht="15.75" hidden="1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591</v>
      </c>
      <c r="E259" s="110">
        <v>42613</v>
      </c>
      <c r="F259" s="109" t="s">
        <v>375</v>
      </c>
      <c r="G259" s="296" t="s">
        <v>738</v>
      </c>
      <c r="H259" s="4" t="s">
        <v>365</v>
      </c>
      <c r="I259" s="133">
        <v>3800</v>
      </c>
      <c r="J259" s="133">
        <v>1300</v>
      </c>
      <c r="K259" s="13">
        <f>ROUND(I259*J259,0)</f>
        <v>4940000</v>
      </c>
      <c r="L259" s="113" t="s">
        <v>251</v>
      </c>
      <c r="M259" s="402" t="s">
        <v>168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63"/>
    </row>
    <row r="260" spans="1:26" ht="15.75" hidden="1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591</v>
      </c>
      <c r="E260" s="110">
        <v>42613</v>
      </c>
      <c r="F260" s="109" t="s">
        <v>494</v>
      </c>
      <c r="G260" s="296" t="s">
        <v>738</v>
      </c>
      <c r="H260" s="4" t="s">
        <v>365</v>
      </c>
      <c r="I260" s="133"/>
      <c r="J260" s="133"/>
      <c r="K260" s="13">
        <v>3100000</v>
      </c>
      <c r="L260" s="113" t="s">
        <v>251</v>
      </c>
      <c r="M260" s="402" t="s">
        <v>350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63"/>
    </row>
    <row r="261" spans="1:26" ht="15.75" hidden="1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592</v>
      </c>
      <c r="E261" s="110">
        <v>42613</v>
      </c>
      <c r="F261" s="109" t="s">
        <v>518</v>
      </c>
      <c r="G261" s="296" t="s">
        <v>739</v>
      </c>
      <c r="H261" s="4" t="s">
        <v>363</v>
      </c>
      <c r="I261" s="133">
        <v>819</v>
      </c>
      <c r="J261" s="133">
        <v>5000</v>
      </c>
      <c r="K261" s="13">
        <f>ROUND(I261*J261,0)</f>
        <v>4095000</v>
      </c>
      <c r="L261" s="113" t="s">
        <v>251</v>
      </c>
      <c r="M261" s="402" t="s">
        <v>168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63"/>
    </row>
    <row r="262" spans="1:26" ht="15.75" hidden="1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592</v>
      </c>
      <c r="E262" s="110">
        <v>42613</v>
      </c>
      <c r="F262" s="109" t="s">
        <v>544</v>
      </c>
      <c r="G262" s="296" t="s">
        <v>739</v>
      </c>
      <c r="H262" s="4" t="s">
        <v>363</v>
      </c>
      <c r="I262" s="133">
        <v>610</v>
      </c>
      <c r="J262" s="133">
        <v>5550</v>
      </c>
      <c r="K262" s="13">
        <f>ROUND(I262*J262,0)</f>
        <v>3385500</v>
      </c>
      <c r="L262" s="113" t="s">
        <v>251</v>
      </c>
      <c r="M262" s="402" t="s">
        <v>168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63"/>
    </row>
    <row r="263" spans="1:26" ht="15.75" hidden="1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592</v>
      </c>
      <c r="E263" s="110">
        <v>42613</v>
      </c>
      <c r="F263" s="109" t="s">
        <v>520</v>
      </c>
      <c r="G263" s="296" t="s">
        <v>739</v>
      </c>
      <c r="H263" s="4" t="s">
        <v>363</v>
      </c>
      <c r="I263" s="133">
        <v>599</v>
      </c>
      <c r="J263" s="133">
        <v>9700</v>
      </c>
      <c r="K263" s="13">
        <f>ROUND(I263*J263,0)</f>
        <v>5810300</v>
      </c>
      <c r="L263" s="113" t="s">
        <v>251</v>
      </c>
      <c r="M263" s="402" t="s">
        <v>168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63"/>
    </row>
    <row r="264" spans="1:26" ht="15.75" hidden="1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592</v>
      </c>
      <c r="E264" s="110">
        <v>42613</v>
      </c>
      <c r="F264" s="109" t="s">
        <v>623</v>
      </c>
      <c r="G264" s="296" t="s">
        <v>739</v>
      </c>
      <c r="H264" s="4" t="s">
        <v>363</v>
      </c>
      <c r="I264" s="133">
        <v>305</v>
      </c>
      <c r="J264" s="133">
        <v>10670</v>
      </c>
      <c r="K264" s="13">
        <f>ROUND(I264*J264,0)</f>
        <v>3254350</v>
      </c>
      <c r="L264" s="113" t="s">
        <v>251</v>
      </c>
      <c r="M264" s="402" t="s">
        <v>168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63"/>
    </row>
    <row r="265" spans="1:26" ht="15.75" hidden="1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592</v>
      </c>
      <c r="E265" s="110">
        <v>42613</v>
      </c>
      <c r="F265" s="109" t="s">
        <v>494</v>
      </c>
      <c r="G265" s="296" t="s">
        <v>739</v>
      </c>
      <c r="H265" s="4" t="s">
        <v>363</v>
      </c>
      <c r="I265" s="133"/>
      <c r="J265" s="133"/>
      <c r="K265" s="13">
        <v>1654515</v>
      </c>
      <c r="L265" s="113" t="s">
        <v>251</v>
      </c>
      <c r="M265" s="402" t="s">
        <v>350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63"/>
    </row>
    <row r="266" spans="1:26" ht="15.75" hidden="1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1017</v>
      </c>
      <c r="E266" s="110">
        <v>42614</v>
      </c>
      <c r="F266" s="109" t="s">
        <v>483</v>
      </c>
      <c r="G266" s="296" t="s">
        <v>472</v>
      </c>
      <c r="H266" s="4" t="s">
        <v>473</v>
      </c>
      <c r="I266" s="133"/>
      <c r="J266" s="133"/>
      <c r="K266" s="13">
        <v>7000000</v>
      </c>
      <c r="L266" s="402" t="s">
        <v>46</v>
      </c>
      <c r="M266" s="402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6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468</v>
      </c>
      <c r="E267" s="110">
        <v>42614</v>
      </c>
      <c r="F267" s="109" t="s">
        <v>463</v>
      </c>
      <c r="G267" s="296" t="s">
        <v>472</v>
      </c>
      <c r="H267" s="4" t="s">
        <v>396</v>
      </c>
      <c r="I267" s="133"/>
      <c r="J267" s="133"/>
      <c r="K267" s="401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6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468</v>
      </c>
      <c r="E268" s="110">
        <v>42614</v>
      </c>
      <c r="F268" s="109" t="s">
        <v>478</v>
      </c>
      <c r="G268" s="296" t="s">
        <v>472</v>
      </c>
      <c r="H268" s="4"/>
      <c r="I268" s="133"/>
      <c r="J268" s="133"/>
      <c r="K268" s="401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6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468</v>
      </c>
      <c r="E269" s="110">
        <v>42614</v>
      </c>
      <c r="F269" s="109" t="s">
        <v>479</v>
      </c>
      <c r="G269" s="296" t="s">
        <v>472</v>
      </c>
      <c r="H269" s="4"/>
      <c r="I269" s="133"/>
      <c r="J269" s="133"/>
      <c r="K269" s="401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63">
        <v>3</v>
      </c>
    </row>
    <row r="270" spans="1:26" ht="15.75" hidden="1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593</v>
      </c>
      <c r="E270" s="110">
        <v>42614</v>
      </c>
      <c r="F270" s="109" t="s">
        <v>538</v>
      </c>
      <c r="G270" s="296" t="s">
        <v>740</v>
      </c>
      <c r="H270" s="4" t="s">
        <v>621</v>
      </c>
      <c r="I270" s="133">
        <v>504</v>
      </c>
      <c r="J270" s="133">
        <v>6400</v>
      </c>
      <c r="K270" s="13">
        <f>ROUND(I270*J270,0)</f>
        <v>3225600</v>
      </c>
      <c r="L270" s="113" t="s">
        <v>251</v>
      </c>
      <c r="M270" s="402" t="s">
        <v>168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63"/>
    </row>
    <row r="271" spans="1:26" ht="15.75" hidden="1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593</v>
      </c>
      <c r="E271" s="110">
        <v>42614</v>
      </c>
      <c r="F271" s="109" t="s">
        <v>494</v>
      </c>
      <c r="G271" s="296" t="s">
        <v>740</v>
      </c>
      <c r="H271" s="4" t="s">
        <v>621</v>
      </c>
      <c r="I271" s="133"/>
      <c r="J271" s="133"/>
      <c r="K271" s="13">
        <v>322560</v>
      </c>
      <c r="L271" s="113" t="s">
        <v>251</v>
      </c>
      <c r="M271" s="402" t="s">
        <v>350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63"/>
    </row>
    <row r="272" spans="1:26" ht="15.75" hidden="1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594</v>
      </c>
      <c r="E272" s="110">
        <v>42614</v>
      </c>
      <c r="F272" s="109" t="s">
        <v>539</v>
      </c>
      <c r="G272" s="296" t="s">
        <v>741</v>
      </c>
      <c r="H272" s="4" t="s">
        <v>369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251</v>
      </c>
      <c r="M272" s="402" t="s">
        <v>168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63"/>
    </row>
    <row r="273" spans="1:26" ht="15.75" hidden="1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594</v>
      </c>
      <c r="E273" s="110">
        <v>42614</v>
      </c>
      <c r="F273" s="109" t="s">
        <v>494</v>
      </c>
      <c r="G273" s="296" t="s">
        <v>741</v>
      </c>
      <c r="H273" s="4" t="s">
        <v>369</v>
      </c>
      <c r="I273" s="133"/>
      <c r="J273" s="133"/>
      <c r="K273" s="13">
        <v>1955100</v>
      </c>
      <c r="L273" s="113" t="s">
        <v>251</v>
      </c>
      <c r="M273" s="402" t="s">
        <v>350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63"/>
    </row>
    <row r="274" spans="1:26" ht="15.75" hidden="1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1018</v>
      </c>
      <c r="E274" s="110">
        <v>42618</v>
      </c>
      <c r="F274" s="111" t="s">
        <v>482</v>
      </c>
      <c r="G274" s="296" t="s">
        <v>1024</v>
      </c>
      <c r="H274" s="4" t="s">
        <v>364</v>
      </c>
      <c r="I274" s="133"/>
      <c r="J274" s="133"/>
      <c r="K274" s="13">
        <f>5925150+4790940+2549250</f>
        <v>13265340</v>
      </c>
      <c r="L274" s="113" t="s">
        <v>46</v>
      </c>
      <c r="M274" s="402" t="s">
        <v>251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63"/>
    </row>
    <row r="275" spans="1:26" ht="15.75" hidden="1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595</v>
      </c>
      <c r="E275" s="110">
        <v>42618</v>
      </c>
      <c r="F275" s="109" t="s">
        <v>649</v>
      </c>
      <c r="G275" s="296" t="s">
        <v>742</v>
      </c>
      <c r="H275" s="4" t="s">
        <v>369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251</v>
      </c>
      <c r="M275" s="402" t="s">
        <v>168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63"/>
    </row>
    <row r="276" spans="1:26" ht="15.75" hidden="1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595</v>
      </c>
      <c r="E276" s="110">
        <v>42618</v>
      </c>
      <c r="F276" s="109" t="s">
        <v>498</v>
      </c>
      <c r="G276" s="296" t="s">
        <v>742</v>
      </c>
      <c r="H276" s="4" t="s">
        <v>369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251</v>
      </c>
      <c r="M276" s="402" t="s">
        <v>168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63"/>
    </row>
    <row r="277" spans="1:26" ht="15.75" hidden="1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595</v>
      </c>
      <c r="E277" s="110">
        <v>42618</v>
      </c>
      <c r="F277" s="109" t="s">
        <v>498</v>
      </c>
      <c r="G277" s="296" t="s">
        <v>742</v>
      </c>
      <c r="H277" s="4" t="s">
        <v>369</v>
      </c>
      <c r="I277" s="133">
        <v>110</v>
      </c>
      <c r="J277" s="133">
        <v>16700</v>
      </c>
      <c r="K277" s="13">
        <f>ROUND(I277*J277,0)</f>
        <v>1837000</v>
      </c>
      <c r="L277" s="113" t="s">
        <v>251</v>
      </c>
      <c r="M277" s="402" t="s">
        <v>168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63"/>
    </row>
    <row r="278" spans="1:26" ht="15.75" hidden="1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595</v>
      </c>
      <c r="E278" s="110">
        <v>42618</v>
      </c>
      <c r="F278" s="109" t="s">
        <v>650</v>
      </c>
      <c r="G278" s="296" t="s">
        <v>742</v>
      </c>
      <c r="H278" s="4" t="s">
        <v>369</v>
      </c>
      <c r="I278" s="133">
        <v>110</v>
      </c>
      <c r="J278" s="133">
        <v>6300</v>
      </c>
      <c r="K278" s="13">
        <f>ROUND(I278*J278,0)</f>
        <v>693000</v>
      </c>
      <c r="L278" s="113" t="s">
        <v>251</v>
      </c>
      <c r="M278" s="402" t="s">
        <v>168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63"/>
    </row>
    <row r="279" spans="1:26" ht="15.75" hidden="1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595</v>
      </c>
      <c r="E279" s="110">
        <v>42618</v>
      </c>
      <c r="F279" s="109" t="s">
        <v>494</v>
      </c>
      <c r="G279" s="296" t="s">
        <v>742</v>
      </c>
      <c r="H279" s="4" t="s">
        <v>369</v>
      </c>
      <c r="I279" s="133"/>
      <c r="J279" s="133"/>
      <c r="K279" s="13">
        <v>1098240</v>
      </c>
      <c r="L279" s="113" t="s">
        <v>251</v>
      </c>
      <c r="M279" s="402" t="s">
        <v>350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63"/>
    </row>
    <row r="280" spans="1:26" ht="15.75" hidden="1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596</v>
      </c>
      <c r="E280" s="110">
        <v>42618</v>
      </c>
      <c r="F280" s="109" t="s">
        <v>651</v>
      </c>
      <c r="G280" s="296" t="s">
        <v>743</v>
      </c>
      <c r="H280" s="4" t="s">
        <v>369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251</v>
      </c>
      <c r="M280" s="402" t="s">
        <v>168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63"/>
    </row>
    <row r="281" spans="1:26" ht="15.75" hidden="1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596</v>
      </c>
      <c r="E281" s="110">
        <v>42618</v>
      </c>
      <c r="F281" s="109" t="s">
        <v>652</v>
      </c>
      <c r="G281" s="296" t="s">
        <v>743</v>
      </c>
      <c r="H281" s="4" t="s">
        <v>369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251</v>
      </c>
      <c r="M281" s="402" t="s">
        <v>168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63"/>
    </row>
    <row r="282" spans="1:26" ht="15.75" hidden="1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596</v>
      </c>
      <c r="E282" s="110">
        <v>42618</v>
      </c>
      <c r="F282" s="109" t="s">
        <v>498</v>
      </c>
      <c r="G282" s="296" t="s">
        <v>743</v>
      </c>
      <c r="H282" s="4" t="s">
        <v>369</v>
      </c>
      <c r="I282" s="133">
        <v>72</v>
      </c>
      <c r="J282" s="133">
        <v>9400</v>
      </c>
      <c r="K282" s="13">
        <f>ROUND(I282*J282,0)</f>
        <v>676800</v>
      </c>
      <c r="L282" s="113" t="s">
        <v>251</v>
      </c>
      <c r="M282" s="402" t="s">
        <v>168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63"/>
    </row>
    <row r="283" spans="1:26" ht="15.75" hidden="1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596</v>
      </c>
      <c r="E283" s="110">
        <v>42618</v>
      </c>
      <c r="F283" s="109" t="s">
        <v>494</v>
      </c>
      <c r="G283" s="296" t="s">
        <v>743</v>
      </c>
      <c r="H283" s="4" t="s">
        <v>369</v>
      </c>
      <c r="I283" s="133"/>
      <c r="J283" s="133"/>
      <c r="K283" s="13">
        <v>893510</v>
      </c>
      <c r="L283" s="113" t="s">
        <v>251</v>
      </c>
      <c r="M283" s="402" t="s">
        <v>350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63"/>
    </row>
    <row r="284" spans="1:26" ht="15.75" hidden="1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1032</v>
      </c>
      <c r="E284" s="110">
        <v>42619</v>
      </c>
      <c r="F284" s="111" t="s">
        <v>482</v>
      </c>
      <c r="G284" s="296" t="s">
        <v>1022</v>
      </c>
      <c r="H284" s="4" t="s">
        <v>616</v>
      </c>
      <c r="I284" s="133"/>
      <c r="J284" s="133"/>
      <c r="K284" s="13">
        <f>1429120+1825340+2347950</f>
        <v>5602410</v>
      </c>
      <c r="L284" s="113" t="s">
        <v>46</v>
      </c>
      <c r="M284" s="402" t="s">
        <v>251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63"/>
    </row>
    <row r="285" spans="1:26" ht="15.75" hidden="1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597</v>
      </c>
      <c r="E285" s="110">
        <v>42619</v>
      </c>
      <c r="F285" s="109" t="s">
        <v>508</v>
      </c>
      <c r="G285" s="296" t="s">
        <v>744</v>
      </c>
      <c r="H285" s="4" t="s">
        <v>688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251</v>
      </c>
      <c r="M285" s="402" t="s">
        <v>168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63"/>
    </row>
    <row r="286" spans="1:26" ht="15.75" hidden="1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597</v>
      </c>
      <c r="E286" s="110">
        <v>42619</v>
      </c>
      <c r="F286" s="109" t="s">
        <v>494</v>
      </c>
      <c r="G286" s="296" t="s">
        <v>744</v>
      </c>
      <c r="H286" s="4" t="s">
        <v>688</v>
      </c>
      <c r="I286" s="133"/>
      <c r="J286" s="133"/>
      <c r="K286" s="13">
        <v>611240</v>
      </c>
      <c r="L286" s="113" t="s">
        <v>251</v>
      </c>
      <c r="M286" s="402" t="s">
        <v>350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63"/>
    </row>
    <row r="287" spans="1:26" ht="15.75" hidden="1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598</v>
      </c>
      <c r="E287" s="110">
        <v>42619</v>
      </c>
      <c r="F287" s="109" t="s">
        <v>530</v>
      </c>
      <c r="G287" s="296" t="s">
        <v>745</v>
      </c>
      <c r="H287" s="4" t="s">
        <v>615</v>
      </c>
      <c r="I287" s="133">
        <v>212</v>
      </c>
      <c r="J287" s="133">
        <v>9300</v>
      </c>
      <c r="K287" s="13">
        <f>ROUND(I287*J287,0)</f>
        <v>1971600</v>
      </c>
      <c r="L287" s="113" t="s">
        <v>251</v>
      </c>
      <c r="M287" s="402" t="s">
        <v>168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63"/>
    </row>
    <row r="288" spans="1:26" ht="15.75" hidden="1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598</v>
      </c>
      <c r="E288" s="110">
        <v>42619</v>
      </c>
      <c r="F288" s="109" t="s">
        <v>540</v>
      </c>
      <c r="G288" s="296" t="s">
        <v>745</v>
      </c>
      <c r="H288" s="4" t="s">
        <v>615</v>
      </c>
      <c r="I288" s="133"/>
      <c r="J288" s="133"/>
      <c r="K288" s="13">
        <v>197160</v>
      </c>
      <c r="L288" s="113" t="s">
        <v>251</v>
      </c>
      <c r="M288" s="402" t="s">
        <v>350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63"/>
    </row>
    <row r="289" spans="1:26" ht="15.75" hidden="1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1033</v>
      </c>
      <c r="E289" s="110">
        <v>42619</v>
      </c>
      <c r="F289" s="111" t="s">
        <v>482</v>
      </c>
      <c r="G289" s="296" t="s">
        <v>745</v>
      </c>
      <c r="H289" s="4" t="s">
        <v>615</v>
      </c>
      <c r="I289" s="133"/>
      <c r="J289" s="133"/>
      <c r="K289" s="13">
        <v>2168760</v>
      </c>
      <c r="L289" s="113" t="s">
        <v>46</v>
      </c>
      <c r="M289" s="402" t="s">
        <v>251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63"/>
    </row>
    <row r="290" spans="1:26" ht="15.75" hidden="1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599</v>
      </c>
      <c r="E290" s="110">
        <v>42619</v>
      </c>
      <c r="F290" s="109" t="s">
        <v>662</v>
      </c>
      <c r="G290" s="296" t="s">
        <v>746</v>
      </c>
      <c r="H290" s="4" t="s">
        <v>616</v>
      </c>
      <c r="I290" s="133">
        <v>212</v>
      </c>
      <c r="J290" s="133">
        <v>9400</v>
      </c>
      <c r="K290" s="13">
        <f>ROUND(I290*J290,0)</f>
        <v>1992800</v>
      </c>
      <c r="L290" s="113" t="s">
        <v>251</v>
      </c>
      <c r="M290" s="402" t="s">
        <v>168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63"/>
    </row>
    <row r="291" spans="1:26" ht="15.75" hidden="1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599</v>
      </c>
      <c r="E291" s="110">
        <v>42619</v>
      </c>
      <c r="F291" s="109" t="s">
        <v>494</v>
      </c>
      <c r="G291" s="296" t="s">
        <v>746</v>
      </c>
      <c r="H291" s="4" t="s">
        <v>616</v>
      </c>
      <c r="I291" s="133"/>
      <c r="J291" s="133"/>
      <c r="K291" s="13">
        <v>199280</v>
      </c>
      <c r="L291" s="113" t="s">
        <v>251</v>
      </c>
      <c r="M291" s="402" t="s">
        <v>350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63"/>
    </row>
    <row r="292" spans="1:26" ht="15.75" hidden="1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600</v>
      </c>
      <c r="E292" s="110">
        <v>42619</v>
      </c>
      <c r="F292" s="109" t="s">
        <v>530</v>
      </c>
      <c r="G292" s="296" t="s">
        <v>747</v>
      </c>
      <c r="H292" s="4" t="s">
        <v>549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251</v>
      </c>
      <c r="M292" s="402" t="s">
        <v>168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63"/>
    </row>
    <row r="293" spans="1:26" ht="15.75" hidden="1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600</v>
      </c>
      <c r="E293" s="110">
        <v>42619</v>
      </c>
      <c r="F293" s="109" t="s">
        <v>540</v>
      </c>
      <c r="G293" s="296" t="s">
        <v>747</v>
      </c>
      <c r="H293" s="4" t="s">
        <v>549</v>
      </c>
      <c r="I293" s="133"/>
      <c r="J293" s="133"/>
      <c r="K293" s="13">
        <v>251940</v>
      </c>
      <c r="L293" s="113" t="s">
        <v>251</v>
      </c>
      <c r="M293" s="402" t="s">
        <v>350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63"/>
    </row>
    <row r="294" spans="1:26" ht="15.75" hidden="1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1034</v>
      </c>
      <c r="E294" s="110">
        <v>42619</v>
      </c>
      <c r="F294" s="111" t="s">
        <v>482</v>
      </c>
      <c r="G294" s="296" t="s">
        <v>747</v>
      </c>
      <c r="H294" s="4" t="s">
        <v>549</v>
      </c>
      <c r="I294" s="133"/>
      <c r="J294" s="133"/>
      <c r="K294" s="13">
        <v>2771340</v>
      </c>
      <c r="L294" s="113" t="s">
        <v>46</v>
      </c>
      <c r="M294" s="402" t="s">
        <v>251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6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1006</v>
      </c>
      <c r="E295" s="105">
        <v>42620</v>
      </c>
      <c r="F295" s="109" t="s">
        <v>409</v>
      </c>
      <c r="G295" s="296" t="s">
        <v>427</v>
      </c>
      <c r="H295" s="112" t="s">
        <v>426</v>
      </c>
      <c r="I295" s="133"/>
      <c r="J295" s="133"/>
      <c r="K295" s="401">
        <v>5638527</v>
      </c>
      <c r="L295" s="402" t="s">
        <v>253</v>
      </c>
      <c r="M295" s="402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6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1006</v>
      </c>
      <c r="E296" s="105">
        <v>42620</v>
      </c>
      <c r="F296" s="109" t="s">
        <v>410</v>
      </c>
      <c r="G296" s="296" t="s">
        <v>427</v>
      </c>
      <c r="H296" s="112" t="s">
        <v>426</v>
      </c>
      <c r="I296" s="133"/>
      <c r="J296" s="133"/>
      <c r="K296" s="401">
        <v>563853</v>
      </c>
      <c r="L296" s="402" t="s">
        <v>9</v>
      </c>
      <c r="M296" s="402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63">
        <v>3</v>
      </c>
    </row>
    <row r="297" spans="1:26" ht="15.75" hidden="1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601</v>
      </c>
      <c r="E297" s="110">
        <v>42620</v>
      </c>
      <c r="F297" s="109" t="s">
        <v>527</v>
      </c>
      <c r="G297" s="296" t="s">
        <v>748</v>
      </c>
      <c r="H297" s="4" t="s">
        <v>367</v>
      </c>
      <c r="I297" s="133">
        <v>60</v>
      </c>
      <c r="J297" s="133">
        <v>47449</v>
      </c>
      <c r="K297" s="13">
        <f>ROUND(I297*J297,0)</f>
        <v>2846940</v>
      </c>
      <c r="L297" s="113" t="s">
        <v>251</v>
      </c>
      <c r="M297" s="402" t="s">
        <v>168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63"/>
    </row>
    <row r="298" spans="1:26" ht="15.75" hidden="1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601</v>
      </c>
      <c r="E298" s="110">
        <v>42620</v>
      </c>
      <c r="F298" s="109" t="s">
        <v>664</v>
      </c>
      <c r="G298" s="296" t="s">
        <v>748</v>
      </c>
      <c r="H298" s="4" t="s">
        <v>367</v>
      </c>
      <c r="I298" s="133">
        <v>20</v>
      </c>
      <c r="J298" s="133">
        <v>54530</v>
      </c>
      <c r="K298" s="13">
        <f>ROUND(I298*J298,0)</f>
        <v>1090600</v>
      </c>
      <c r="L298" s="113" t="s">
        <v>251</v>
      </c>
      <c r="M298" s="402" t="s">
        <v>168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63"/>
    </row>
    <row r="299" spans="1:26" ht="15.75" hidden="1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601</v>
      </c>
      <c r="E299" s="110">
        <v>42620</v>
      </c>
      <c r="F299" s="109" t="s">
        <v>494</v>
      </c>
      <c r="G299" s="296" t="s">
        <v>748</v>
      </c>
      <c r="H299" s="4" t="s">
        <v>367</v>
      </c>
      <c r="I299" s="133"/>
      <c r="J299" s="133"/>
      <c r="K299" s="13">
        <v>393754</v>
      </c>
      <c r="L299" s="113" t="s">
        <v>251</v>
      </c>
      <c r="M299" s="402" t="s">
        <v>350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63"/>
    </row>
    <row r="300" spans="1:26" ht="15.75" hidden="1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1034</v>
      </c>
      <c r="E300" s="110">
        <v>42620</v>
      </c>
      <c r="F300" s="111" t="s">
        <v>482</v>
      </c>
      <c r="G300" s="296" t="s">
        <v>748</v>
      </c>
      <c r="H300" s="4" t="s">
        <v>367</v>
      </c>
      <c r="I300" s="133"/>
      <c r="J300" s="133"/>
      <c r="K300" s="13">
        <v>4331294</v>
      </c>
      <c r="L300" s="113" t="s">
        <v>46</v>
      </c>
      <c r="M300" s="402" t="s">
        <v>251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63"/>
    </row>
    <row r="301" spans="1:26" ht="15.75" hidden="1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602</v>
      </c>
      <c r="E301" s="110">
        <v>42621</v>
      </c>
      <c r="F301" s="109" t="s">
        <v>541</v>
      </c>
      <c r="G301" s="296" t="s">
        <v>749</v>
      </c>
      <c r="H301" s="4" t="s">
        <v>620</v>
      </c>
      <c r="I301" s="133">
        <v>1027</v>
      </c>
      <c r="J301" s="133">
        <v>6700</v>
      </c>
      <c r="K301" s="13">
        <f>ROUND(I301*J301,0)</f>
        <v>6880900</v>
      </c>
      <c r="L301" s="113" t="s">
        <v>251</v>
      </c>
      <c r="M301" s="402" t="s">
        <v>168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63"/>
    </row>
    <row r="302" spans="1:26" ht="15.75" hidden="1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602</v>
      </c>
      <c r="E302" s="110">
        <v>42621</v>
      </c>
      <c r="F302" s="109" t="s">
        <v>494</v>
      </c>
      <c r="G302" s="296" t="s">
        <v>749</v>
      </c>
      <c r="H302" s="4" t="s">
        <v>620</v>
      </c>
      <c r="I302" s="133"/>
      <c r="J302" s="133"/>
      <c r="K302" s="13">
        <v>688090</v>
      </c>
      <c r="L302" s="113" t="s">
        <v>251</v>
      </c>
      <c r="M302" s="402" t="s">
        <v>350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63"/>
    </row>
    <row r="303" spans="1:26" ht="15.75" hidden="1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1035</v>
      </c>
      <c r="E303" s="110">
        <v>42621</v>
      </c>
      <c r="F303" s="111" t="s">
        <v>482</v>
      </c>
      <c r="G303" s="296" t="s">
        <v>749</v>
      </c>
      <c r="H303" s="4" t="s">
        <v>620</v>
      </c>
      <c r="I303" s="133"/>
      <c r="J303" s="133"/>
      <c r="K303" s="13">
        <v>7568990</v>
      </c>
      <c r="L303" s="113" t="s">
        <v>46</v>
      </c>
      <c r="M303" s="402" t="s">
        <v>251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63"/>
    </row>
    <row r="304" spans="1:26" ht="15.75" hidden="1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603</v>
      </c>
      <c r="E304" s="110">
        <v>42621</v>
      </c>
      <c r="F304" s="109" t="s">
        <v>644</v>
      </c>
      <c r="G304" s="296" t="s">
        <v>750</v>
      </c>
      <c r="H304" s="4" t="s">
        <v>370</v>
      </c>
      <c r="I304" s="133">
        <v>300</v>
      </c>
      <c r="J304" s="133">
        <v>12400</v>
      </c>
      <c r="K304" s="13">
        <f>ROUND(I304*J304,0)</f>
        <v>3720000</v>
      </c>
      <c r="L304" s="113" t="s">
        <v>251</v>
      </c>
      <c r="M304" s="402" t="s">
        <v>168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63"/>
    </row>
    <row r="305" spans="1:26" ht="15.75" hidden="1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603</v>
      </c>
      <c r="E305" s="110">
        <v>42621</v>
      </c>
      <c r="F305" s="109" t="s">
        <v>645</v>
      </c>
      <c r="G305" s="296" t="s">
        <v>750</v>
      </c>
      <c r="H305" s="4" t="s">
        <v>370</v>
      </c>
      <c r="I305" s="133">
        <v>300</v>
      </c>
      <c r="J305" s="133">
        <v>14200</v>
      </c>
      <c r="K305" s="13">
        <f>ROUND(I305*J305,0)</f>
        <v>4260000</v>
      </c>
      <c r="L305" s="113" t="s">
        <v>251</v>
      </c>
      <c r="M305" s="402" t="s">
        <v>168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63"/>
    </row>
    <row r="306" spans="1:26" ht="15.75" hidden="1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603</v>
      </c>
      <c r="E306" s="110">
        <v>42621</v>
      </c>
      <c r="F306" s="109" t="s">
        <v>648</v>
      </c>
      <c r="G306" s="296" t="s">
        <v>750</v>
      </c>
      <c r="H306" s="4" t="s">
        <v>370</v>
      </c>
      <c r="I306" s="133">
        <v>300</v>
      </c>
      <c r="J306" s="133">
        <v>15300</v>
      </c>
      <c r="K306" s="13">
        <f>ROUND(I306*J306,0)</f>
        <v>4590000</v>
      </c>
      <c r="L306" s="113" t="s">
        <v>251</v>
      </c>
      <c r="M306" s="402" t="s">
        <v>168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63"/>
    </row>
    <row r="307" spans="1:26" ht="15.75" hidden="1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603</v>
      </c>
      <c r="E307" s="110">
        <v>42621</v>
      </c>
      <c r="F307" s="109" t="s">
        <v>646</v>
      </c>
      <c r="G307" s="296" t="s">
        <v>750</v>
      </c>
      <c r="H307" s="4" t="s">
        <v>370</v>
      </c>
      <c r="I307" s="133">
        <v>300</v>
      </c>
      <c r="J307" s="133">
        <v>16500</v>
      </c>
      <c r="K307" s="13">
        <f>ROUND(I307*J307,0)</f>
        <v>4950000</v>
      </c>
      <c r="L307" s="113" t="s">
        <v>251</v>
      </c>
      <c r="M307" s="402" t="s">
        <v>168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63"/>
    </row>
    <row r="308" spans="1:26" ht="15.75" hidden="1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603</v>
      </c>
      <c r="E308" s="110">
        <v>42621</v>
      </c>
      <c r="F308" s="109" t="s">
        <v>647</v>
      </c>
      <c r="G308" s="296" t="s">
        <v>750</v>
      </c>
      <c r="H308" s="4" t="s">
        <v>370</v>
      </c>
      <c r="I308" s="133">
        <v>300</v>
      </c>
      <c r="J308" s="133">
        <v>19700</v>
      </c>
      <c r="K308" s="13">
        <f>ROUND(I308*J308,0)</f>
        <v>5910000</v>
      </c>
      <c r="L308" s="113" t="s">
        <v>251</v>
      </c>
      <c r="M308" s="402" t="s">
        <v>168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63"/>
    </row>
    <row r="309" spans="1:26" ht="15.75" hidden="1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603</v>
      </c>
      <c r="E309" s="110">
        <v>42621</v>
      </c>
      <c r="F309" s="109" t="s">
        <v>494</v>
      </c>
      <c r="G309" s="296" t="s">
        <v>750</v>
      </c>
      <c r="H309" s="4" t="s">
        <v>370</v>
      </c>
      <c r="I309" s="133"/>
      <c r="J309" s="133"/>
      <c r="K309" s="13">
        <v>2343000</v>
      </c>
      <c r="L309" s="113" t="s">
        <v>251</v>
      </c>
      <c r="M309" s="402" t="s">
        <v>350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6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1007</v>
      </c>
      <c r="E310" s="105">
        <v>42622</v>
      </c>
      <c r="F310" s="109" t="s">
        <v>353</v>
      </c>
      <c r="G310" s="296" t="s">
        <v>424</v>
      </c>
      <c r="H310" s="112" t="s">
        <v>425</v>
      </c>
      <c r="I310" s="133"/>
      <c r="J310" s="133"/>
      <c r="K310" s="401">
        <v>1760000</v>
      </c>
      <c r="L310" s="402" t="s">
        <v>159</v>
      </c>
      <c r="M310" s="402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6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1007</v>
      </c>
      <c r="E311" s="105">
        <v>42622</v>
      </c>
      <c r="F311" s="109" t="s">
        <v>423</v>
      </c>
      <c r="G311" s="296" t="s">
        <v>424</v>
      </c>
      <c r="H311" s="112" t="s">
        <v>425</v>
      </c>
      <c r="I311" s="133"/>
      <c r="J311" s="133"/>
      <c r="K311" s="401">
        <v>176000</v>
      </c>
      <c r="L311" s="402" t="s">
        <v>9</v>
      </c>
      <c r="M311" s="402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63">
        <v>3</v>
      </c>
    </row>
    <row r="312" spans="1:26" ht="15.75" hidden="1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467</v>
      </c>
      <c r="E312" s="110">
        <v>42622</v>
      </c>
      <c r="F312" s="109" t="s">
        <v>482</v>
      </c>
      <c r="G312" s="296" t="s">
        <v>472</v>
      </c>
      <c r="H312" s="4" t="s">
        <v>365</v>
      </c>
      <c r="I312" s="133"/>
      <c r="J312" s="133"/>
      <c r="K312" s="401">
        <v>34100000</v>
      </c>
      <c r="L312" s="402" t="s">
        <v>24</v>
      </c>
      <c r="M312" s="402" t="s">
        <v>251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63"/>
    </row>
    <row r="313" spans="1:26" ht="15.75" hidden="1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1008</v>
      </c>
      <c r="E313" s="110">
        <v>42622</v>
      </c>
      <c r="F313" s="109" t="s">
        <v>469</v>
      </c>
      <c r="G313" s="296" t="s">
        <v>472</v>
      </c>
      <c r="H313" s="4" t="s">
        <v>473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6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468</v>
      </c>
      <c r="E314" s="110">
        <v>42622</v>
      </c>
      <c r="F314" s="109" t="s">
        <v>463</v>
      </c>
      <c r="G314" s="296" t="s">
        <v>472</v>
      </c>
      <c r="H314" s="4" t="s">
        <v>397</v>
      </c>
      <c r="I314" s="133"/>
      <c r="J314" s="133"/>
      <c r="K314" s="401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6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468</v>
      </c>
      <c r="E315" s="110">
        <v>42622</v>
      </c>
      <c r="F315" s="109" t="s">
        <v>478</v>
      </c>
      <c r="G315" s="296" t="s">
        <v>472</v>
      </c>
      <c r="H315" s="4"/>
      <c r="I315" s="133"/>
      <c r="J315" s="133"/>
      <c r="K315" s="401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6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468</v>
      </c>
      <c r="E316" s="110">
        <v>42622</v>
      </c>
      <c r="F316" s="109" t="s">
        <v>479</v>
      </c>
      <c r="G316" s="296" t="s">
        <v>472</v>
      </c>
      <c r="H316" s="4"/>
      <c r="I316" s="133"/>
      <c r="J316" s="133"/>
      <c r="K316" s="401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63">
        <v>3</v>
      </c>
    </row>
    <row r="317" spans="1:26" ht="15.75" hidden="1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604</v>
      </c>
      <c r="E317" s="110">
        <v>42624</v>
      </c>
      <c r="F317" s="109" t="s">
        <v>543</v>
      </c>
      <c r="G317" s="296" t="s">
        <v>751</v>
      </c>
      <c r="H317" s="112" t="s">
        <v>542</v>
      </c>
      <c r="I317" s="133">
        <v>10520</v>
      </c>
      <c r="J317" s="133">
        <v>9000</v>
      </c>
      <c r="K317" s="13">
        <f>ROUND(I317*J317,0)</f>
        <v>94680000</v>
      </c>
      <c r="L317" s="113" t="s">
        <v>251</v>
      </c>
      <c r="M317" s="402" t="s">
        <v>168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63"/>
    </row>
    <row r="318" spans="1:26" ht="15.75" hidden="1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604</v>
      </c>
      <c r="E318" s="110">
        <v>42624</v>
      </c>
      <c r="F318" s="109" t="s">
        <v>494</v>
      </c>
      <c r="G318" s="296" t="s">
        <v>751</v>
      </c>
      <c r="H318" s="112" t="s">
        <v>542</v>
      </c>
      <c r="I318" s="133"/>
      <c r="J318" s="133"/>
      <c r="K318" s="13">
        <v>9468000</v>
      </c>
      <c r="L318" s="113" t="s">
        <v>251</v>
      </c>
      <c r="M318" s="402" t="s">
        <v>350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63"/>
    </row>
    <row r="319" spans="1:26" ht="15.75" hidden="1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943</v>
      </c>
      <c r="E319" s="110">
        <v>42625</v>
      </c>
      <c r="F319" s="109" t="s">
        <v>775</v>
      </c>
      <c r="G319" s="298" t="s">
        <v>981</v>
      </c>
      <c r="H319" s="112" t="s">
        <v>778</v>
      </c>
      <c r="I319" s="133">
        <v>21050</v>
      </c>
      <c r="J319" s="133">
        <v>750</v>
      </c>
      <c r="K319" s="13">
        <f>ROUND(I319*J319,0)</f>
        <v>15787500</v>
      </c>
      <c r="L319" s="113" t="s">
        <v>155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63">
        <v>4</v>
      </c>
    </row>
    <row r="320" spans="1:26" ht="15.75" hidden="1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943</v>
      </c>
      <c r="E320" s="110">
        <v>42625</v>
      </c>
      <c r="F320" s="109" t="s">
        <v>776</v>
      </c>
      <c r="G320" s="298" t="s">
        <v>981</v>
      </c>
      <c r="H320" s="112" t="s">
        <v>778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6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1011</v>
      </c>
      <c r="E321" s="110">
        <v>42625</v>
      </c>
      <c r="F321" s="109" t="s">
        <v>463</v>
      </c>
      <c r="G321" s="298" t="s">
        <v>981</v>
      </c>
      <c r="H321" s="112" t="s">
        <v>778</v>
      </c>
      <c r="I321" s="133"/>
      <c r="J321" s="133"/>
      <c r="K321" s="13">
        <v>17366250</v>
      </c>
      <c r="L321" s="113" t="s">
        <v>8</v>
      </c>
      <c r="M321" s="402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63"/>
    </row>
    <row r="322" spans="1:26" ht="15.75" hidden="1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467</v>
      </c>
      <c r="E322" s="110">
        <v>42625</v>
      </c>
      <c r="F322" s="109" t="s">
        <v>482</v>
      </c>
      <c r="G322" s="296" t="s">
        <v>472</v>
      </c>
      <c r="H322" s="4" t="s">
        <v>370</v>
      </c>
      <c r="I322" s="133"/>
      <c r="J322" s="133"/>
      <c r="K322" s="401">
        <v>25773000</v>
      </c>
      <c r="L322" s="402" t="s">
        <v>24</v>
      </c>
      <c r="M322" s="402" t="s">
        <v>251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6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468</v>
      </c>
      <c r="E323" s="110">
        <v>42625</v>
      </c>
      <c r="F323" s="109" t="s">
        <v>477</v>
      </c>
      <c r="G323" s="296" t="s">
        <v>472</v>
      </c>
      <c r="H323" s="112" t="s">
        <v>622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63"/>
    </row>
    <row r="324" spans="1:26" ht="15.75" hidden="1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1036</v>
      </c>
      <c r="E324" s="110">
        <v>42626</v>
      </c>
      <c r="F324" s="109" t="s">
        <v>483</v>
      </c>
      <c r="G324" s="296" t="s">
        <v>472</v>
      </c>
      <c r="H324" s="4" t="s">
        <v>486</v>
      </c>
      <c r="I324" s="133"/>
      <c r="J324" s="133"/>
      <c r="K324" s="401">
        <v>5000000</v>
      </c>
      <c r="L324" s="402" t="s">
        <v>46</v>
      </c>
      <c r="M324" s="402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6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468</v>
      </c>
      <c r="E325" s="110">
        <v>42626</v>
      </c>
      <c r="F325" s="109" t="s">
        <v>487</v>
      </c>
      <c r="G325" s="296" t="s">
        <v>472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6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468</v>
      </c>
      <c r="E326" s="110">
        <v>42626</v>
      </c>
      <c r="F326" s="109" t="s">
        <v>488</v>
      </c>
      <c r="G326" s="296" t="s">
        <v>472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63">
        <v>3</v>
      </c>
    </row>
    <row r="327" spans="1:26" ht="15.75" hidden="1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467</v>
      </c>
      <c r="E327" s="110">
        <v>42626</v>
      </c>
      <c r="F327" s="109" t="s">
        <v>482</v>
      </c>
      <c r="G327" s="296" t="s">
        <v>472</v>
      </c>
      <c r="H327" s="4" t="s">
        <v>369</v>
      </c>
      <c r="I327" s="133"/>
      <c r="J327" s="133"/>
      <c r="K327" s="401">
        <v>11632720</v>
      </c>
      <c r="L327" s="402" t="s">
        <v>24</v>
      </c>
      <c r="M327" s="402" t="s">
        <v>251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63"/>
    </row>
    <row r="328" spans="1:26" ht="15.75" hidden="1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605</v>
      </c>
      <c r="E328" s="110">
        <v>42626</v>
      </c>
      <c r="F328" s="109" t="s">
        <v>662</v>
      </c>
      <c r="G328" s="296" t="s">
        <v>752</v>
      </c>
      <c r="H328" s="4" t="s">
        <v>616</v>
      </c>
      <c r="I328" s="133">
        <v>210</v>
      </c>
      <c r="J328" s="133">
        <v>9400</v>
      </c>
      <c r="K328" s="13">
        <f>ROUND(I328*J328,0)</f>
        <v>1974000</v>
      </c>
      <c r="L328" s="113" t="s">
        <v>251</v>
      </c>
      <c r="M328" s="402" t="s">
        <v>168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63"/>
    </row>
    <row r="329" spans="1:26" ht="15.75" hidden="1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605</v>
      </c>
      <c r="E329" s="110">
        <v>42626</v>
      </c>
      <c r="F329" s="109" t="s">
        <v>663</v>
      </c>
      <c r="G329" s="296" t="s">
        <v>752</v>
      </c>
      <c r="H329" s="4" t="s">
        <v>616</v>
      </c>
      <c r="I329" s="133">
        <v>200</v>
      </c>
      <c r="J329" s="133">
        <v>9800</v>
      </c>
      <c r="K329" s="13">
        <f>ROUND(I329*J329,0)</f>
        <v>1960000</v>
      </c>
      <c r="L329" s="113" t="s">
        <v>251</v>
      </c>
      <c r="M329" s="402" t="s">
        <v>168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63"/>
    </row>
    <row r="330" spans="1:26" ht="15.75" hidden="1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605</v>
      </c>
      <c r="E330" s="110">
        <v>42626</v>
      </c>
      <c r="F330" s="109" t="s">
        <v>661</v>
      </c>
      <c r="G330" s="296" t="s">
        <v>752</v>
      </c>
      <c r="H330" s="4" t="s">
        <v>616</v>
      </c>
      <c r="I330" s="133">
        <v>171</v>
      </c>
      <c r="J330" s="133">
        <v>11250</v>
      </c>
      <c r="K330" s="13">
        <f>ROUND(I330*J330,0)</f>
        <v>1923750</v>
      </c>
      <c r="L330" s="113" t="s">
        <v>251</v>
      </c>
      <c r="M330" s="402" t="s">
        <v>168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63"/>
    </row>
    <row r="331" spans="1:26" ht="15.75" hidden="1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605</v>
      </c>
      <c r="E331" s="110">
        <v>42626</v>
      </c>
      <c r="F331" s="109" t="s">
        <v>494</v>
      </c>
      <c r="G331" s="296" t="s">
        <v>752</v>
      </c>
      <c r="H331" s="4" t="s">
        <v>616</v>
      </c>
      <c r="I331" s="133"/>
      <c r="J331" s="133"/>
      <c r="K331" s="13">
        <v>585775</v>
      </c>
      <c r="L331" s="113" t="s">
        <v>251</v>
      </c>
      <c r="M331" s="402" t="s">
        <v>350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63"/>
    </row>
    <row r="332" spans="1:26" ht="15.75" hidden="1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1037</v>
      </c>
      <c r="E332" s="110">
        <v>42627</v>
      </c>
      <c r="F332" s="109" t="s">
        <v>483</v>
      </c>
      <c r="G332" s="296" t="s">
        <v>472</v>
      </c>
      <c r="H332" s="4" t="s">
        <v>473</v>
      </c>
      <c r="I332" s="133"/>
      <c r="J332" s="133"/>
      <c r="K332" s="401">
        <v>11600000</v>
      </c>
      <c r="L332" s="402" t="s">
        <v>46</v>
      </c>
      <c r="M332" s="402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63"/>
    </row>
    <row r="333" spans="1:26" ht="15.75" hidden="1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606</v>
      </c>
      <c r="E333" s="110">
        <v>42627</v>
      </c>
      <c r="F333" s="111" t="s">
        <v>815</v>
      </c>
      <c r="G333" s="296" t="s">
        <v>753</v>
      </c>
      <c r="H333" s="4" t="s">
        <v>371</v>
      </c>
      <c r="I333" s="133">
        <v>2400</v>
      </c>
      <c r="J333" s="133">
        <v>5200</v>
      </c>
      <c r="K333" s="13">
        <f>ROUND(I333*J333,0)</f>
        <v>12480000</v>
      </c>
      <c r="L333" s="113" t="s">
        <v>251</v>
      </c>
      <c r="M333" s="402" t="s">
        <v>168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63"/>
    </row>
    <row r="334" spans="1:26" ht="15.75" hidden="1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606</v>
      </c>
      <c r="E334" s="110">
        <v>42627</v>
      </c>
      <c r="F334" s="111" t="s">
        <v>816</v>
      </c>
      <c r="G334" s="296" t="s">
        <v>753</v>
      </c>
      <c r="H334" s="4" t="s">
        <v>371</v>
      </c>
      <c r="I334" s="133">
        <v>500</v>
      </c>
      <c r="J334" s="133">
        <v>10200</v>
      </c>
      <c r="K334" s="13">
        <f>ROUND(I334*J334,0)</f>
        <v>5100000</v>
      </c>
      <c r="L334" s="113" t="s">
        <v>251</v>
      </c>
      <c r="M334" s="402" t="s">
        <v>168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63"/>
    </row>
    <row r="335" spans="1:26" ht="15.75" hidden="1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606</v>
      </c>
      <c r="E335" s="110">
        <v>42627</v>
      </c>
      <c r="F335" s="109" t="s">
        <v>494</v>
      </c>
      <c r="G335" s="296" t="s">
        <v>753</v>
      </c>
      <c r="H335" s="4" t="s">
        <v>371</v>
      </c>
      <c r="I335" s="133"/>
      <c r="J335" s="133"/>
      <c r="K335" s="13">
        <v>1758000</v>
      </c>
      <c r="L335" s="113" t="s">
        <v>251</v>
      </c>
      <c r="M335" s="402" t="s">
        <v>350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63"/>
    </row>
    <row r="336" spans="1:26" ht="15.75" hidden="1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1038</v>
      </c>
      <c r="E336" s="110">
        <v>42627</v>
      </c>
      <c r="F336" s="111" t="s">
        <v>482</v>
      </c>
      <c r="G336" s="296" t="s">
        <v>753</v>
      </c>
      <c r="H336" s="4" t="s">
        <v>371</v>
      </c>
      <c r="I336" s="133"/>
      <c r="J336" s="133"/>
      <c r="K336" s="13">
        <v>19338000</v>
      </c>
      <c r="L336" s="113" t="s">
        <v>46</v>
      </c>
      <c r="M336" s="402" t="s">
        <v>251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6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468</v>
      </c>
      <c r="E337" s="110">
        <v>42628</v>
      </c>
      <c r="F337" s="109" t="s">
        <v>489</v>
      </c>
      <c r="G337" s="296" t="s">
        <v>472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6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468</v>
      </c>
      <c r="E338" s="110">
        <v>42628</v>
      </c>
      <c r="F338" s="109" t="s">
        <v>490</v>
      </c>
      <c r="G338" s="296" t="s">
        <v>472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63">
        <v>3</v>
      </c>
    </row>
    <row r="339" spans="1:26" ht="15.75" hidden="1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607</v>
      </c>
      <c r="E339" s="110">
        <v>42628</v>
      </c>
      <c r="F339" s="109" t="s">
        <v>518</v>
      </c>
      <c r="G339" s="296" t="s">
        <v>754</v>
      </c>
      <c r="H339" s="4" t="s">
        <v>363</v>
      </c>
      <c r="I339" s="133">
        <v>1820</v>
      </c>
      <c r="J339" s="133">
        <v>5000</v>
      </c>
      <c r="K339" s="13">
        <f>ROUND(I339*J339,0)</f>
        <v>9100000</v>
      </c>
      <c r="L339" s="113" t="s">
        <v>251</v>
      </c>
      <c r="M339" s="402" t="s">
        <v>168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63"/>
    </row>
    <row r="340" spans="1:26" ht="15.75" hidden="1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607</v>
      </c>
      <c r="E340" s="110">
        <v>42628</v>
      </c>
      <c r="F340" s="109" t="s">
        <v>544</v>
      </c>
      <c r="G340" s="296" t="s">
        <v>754</v>
      </c>
      <c r="H340" s="4" t="s">
        <v>363</v>
      </c>
      <c r="I340" s="133">
        <v>620</v>
      </c>
      <c r="J340" s="133">
        <v>5550</v>
      </c>
      <c r="K340" s="13">
        <f>ROUND(I340*J340,0)</f>
        <v>3441000</v>
      </c>
      <c r="L340" s="113" t="s">
        <v>251</v>
      </c>
      <c r="M340" s="402" t="s">
        <v>168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63"/>
    </row>
    <row r="341" spans="1:26" ht="15.75" hidden="1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607</v>
      </c>
      <c r="E341" s="110">
        <v>42628</v>
      </c>
      <c r="F341" s="109" t="s">
        <v>545</v>
      </c>
      <c r="G341" s="296" t="s">
        <v>754</v>
      </c>
      <c r="H341" s="4" t="s">
        <v>363</v>
      </c>
      <c r="I341" s="133">
        <v>304</v>
      </c>
      <c r="J341" s="133">
        <v>5800</v>
      </c>
      <c r="K341" s="13">
        <f>ROUND(I341*J341,0)</f>
        <v>1763200</v>
      </c>
      <c r="L341" s="113" t="s">
        <v>251</v>
      </c>
      <c r="M341" s="402" t="s">
        <v>168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63"/>
    </row>
    <row r="342" spans="1:26" ht="15.75" hidden="1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607</v>
      </c>
      <c r="E342" s="110">
        <v>42628</v>
      </c>
      <c r="F342" s="109" t="s">
        <v>546</v>
      </c>
      <c r="G342" s="296" t="s">
        <v>754</v>
      </c>
      <c r="H342" s="4" t="s">
        <v>363</v>
      </c>
      <c r="I342" s="133">
        <v>316</v>
      </c>
      <c r="J342" s="133">
        <v>5600</v>
      </c>
      <c r="K342" s="13">
        <f>ROUND(I342*J342,0)</f>
        <v>1769600</v>
      </c>
      <c r="L342" s="113" t="s">
        <v>251</v>
      </c>
      <c r="M342" s="402" t="s">
        <v>168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63"/>
    </row>
    <row r="343" spans="1:26" ht="15.75" hidden="1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607</v>
      </c>
      <c r="E343" s="110">
        <v>42628</v>
      </c>
      <c r="F343" s="109" t="s">
        <v>494</v>
      </c>
      <c r="G343" s="296" t="s">
        <v>754</v>
      </c>
      <c r="H343" s="4" t="s">
        <v>363</v>
      </c>
      <c r="I343" s="133"/>
      <c r="J343" s="133"/>
      <c r="K343" s="13">
        <v>1607380</v>
      </c>
      <c r="L343" s="113" t="s">
        <v>251</v>
      </c>
      <c r="M343" s="402" t="s">
        <v>350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63"/>
    </row>
    <row r="344" spans="1:26" ht="15.75" hidden="1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944</v>
      </c>
      <c r="E344" s="105">
        <v>42630</v>
      </c>
      <c r="F344" s="109" t="s">
        <v>442</v>
      </c>
      <c r="G344" s="296" t="s">
        <v>980</v>
      </c>
      <c r="H344" s="112" t="s">
        <v>440</v>
      </c>
      <c r="I344" s="133">
        <v>18500</v>
      </c>
      <c r="J344" s="133">
        <v>780</v>
      </c>
      <c r="K344" s="13">
        <f>ROUND(I344*J344,0)</f>
        <v>14430000</v>
      </c>
      <c r="L344" s="113" t="s">
        <v>155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63">
        <v>4</v>
      </c>
    </row>
    <row r="345" spans="1:26" ht="15.75" hidden="1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944</v>
      </c>
      <c r="E345" s="105">
        <v>42630</v>
      </c>
      <c r="F345" s="109" t="s">
        <v>443</v>
      </c>
      <c r="G345" s="296" t="s">
        <v>980</v>
      </c>
      <c r="H345" s="112" t="s">
        <v>440</v>
      </c>
      <c r="I345" s="133"/>
      <c r="J345" s="133"/>
      <c r="K345" s="401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6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1012</v>
      </c>
      <c r="E346" s="105">
        <v>42630</v>
      </c>
      <c r="F346" s="109" t="s">
        <v>463</v>
      </c>
      <c r="G346" s="296" t="s">
        <v>980</v>
      </c>
      <c r="H346" s="112" t="s">
        <v>440</v>
      </c>
      <c r="I346" s="133"/>
      <c r="J346" s="133"/>
      <c r="K346" s="401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63"/>
    </row>
    <row r="347" spans="1:26" ht="15.75" hidden="1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467</v>
      </c>
      <c r="E347" s="110">
        <v>42632</v>
      </c>
      <c r="F347" s="109" t="s">
        <v>482</v>
      </c>
      <c r="G347" s="296" t="s">
        <v>472</v>
      </c>
      <c r="H347" s="4" t="s">
        <v>363</v>
      </c>
      <c r="I347" s="133"/>
      <c r="J347" s="133"/>
      <c r="K347" s="401">
        <v>17681180</v>
      </c>
      <c r="L347" s="402" t="s">
        <v>24</v>
      </c>
      <c r="M347" s="402" t="s">
        <v>251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63"/>
    </row>
    <row r="348" spans="1:26" ht="15.75" hidden="1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1013</v>
      </c>
      <c r="E348" s="110">
        <v>42633</v>
      </c>
      <c r="F348" s="109" t="s">
        <v>469</v>
      </c>
      <c r="G348" s="296" t="s">
        <v>472</v>
      </c>
      <c r="H348" s="4" t="s">
        <v>473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6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468</v>
      </c>
      <c r="E349" s="110">
        <v>42633</v>
      </c>
      <c r="F349" s="109" t="s">
        <v>477</v>
      </c>
      <c r="G349" s="296" t="s">
        <v>472</v>
      </c>
      <c r="H349" s="112" t="s">
        <v>622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6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468</v>
      </c>
      <c r="E350" s="110">
        <v>42633</v>
      </c>
      <c r="F350" s="109" t="s">
        <v>478</v>
      </c>
      <c r="G350" s="296" t="s">
        <v>472</v>
      </c>
      <c r="H350" s="4"/>
      <c r="I350" s="133"/>
      <c r="J350" s="133"/>
      <c r="K350" s="401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6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468</v>
      </c>
      <c r="E351" s="110">
        <v>42633</v>
      </c>
      <c r="F351" s="109" t="s">
        <v>479</v>
      </c>
      <c r="G351" s="296" t="s">
        <v>472</v>
      </c>
      <c r="H351" s="4"/>
      <c r="I351" s="133"/>
      <c r="J351" s="133"/>
      <c r="K351" s="401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6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468</v>
      </c>
      <c r="E352" s="110">
        <v>42633</v>
      </c>
      <c r="F352" s="109" t="s">
        <v>484</v>
      </c>
      <c r="G352" s="296" t="s">
        <v>472</v>
      </c>
      <c r="H352" s="4"/>
      <c r="I352" s="133"/>
      <c r="J352" s="133"/>
      <c r="K352" s="401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6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468</v>
      </c>
      <c r="E353" s="110">
        <v>42633</v>
      </c>
      <c r="F353" s="109" t="s">
        <v>485</v>
      </c>
      <c r="G353" s="296" t="s">
        <v>472</v>
      </c>
      <c r="H353" s="4"/>
      <c r="I353" s="133"/>
      <c r="J353" s="133"/>
      <c r="K353" s="401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63">
        <v>3</v>
      </c>
    </row>
    <row r="354" spans="1:26" ht="15.75" hidden="1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945</v>
      </c>
      <c r="E354" s="110">
        <v>42633</v>
      </c>
      <c r="F354" s="109" t="s">
        <v>775</v>
      </c>
      <c r="G354" s="298" t="s">
        <v>979</v>
      </c>
      <c r="H354" s="112" t="s">
        <v>778</v>
      </c>
      <c r="I354" s="133">
        <v>22450</v>
      </c>
      <c r="J354" s="133">
        <v>750</v>
      </c>
      <c r="K354" s="13">
        <f>ROUND(I354*J354,0)</f>
        <v>16837500</v>
      </c>
      <c r="L354" s="113" t="s">
        <v>155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63">
        <v>4</v>
      </c>
    </row>
    <row r="355" spans="1:26" ht="15.75" hidden="1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945</v>
      </c>
      <c r="E355" s="110">
        <v>42633</v>
      </c>
      <c r="F355" s="109" t="s">
        <v>776</v>
      </c>
      <c r="G355" s="298" t="s">
        <v>979</v>
      </c>
      <c r="H355" s="112" t="s">
        <v>778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6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1031</v>
      </c>
      <c r="E356" s="110">
        <v>42633</v>
      </c>
      <c r="F356" s="109" t="s">
        <v>463</v>
      </c>
      <c r="G356" s="298" t="s">
        <v>979</v>
      </c>
      <c r="H356" s="112" t="s">
        <v>778</v>
      </c>
      <c r="I356" s="133"/>
      <c r="J356" s="133"/>
      <c r="K356" s="13">
        <v>18521250</v>
      </c>
      <c r="L356" s="113" t="s">
        <v>8</v>
      </c>
      <c r="M356" s="402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63"/>
    </row>
    <row r="357" spans="1:26" ht="15.75" hidden="1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1041</v>
      </c>
      <c r="E357" s="110">
        <v>42635</v>
      </c>
      <c r="F357" s="109" t="s">
        <v>469</v>
      </c>
      <c r="G357" s="296" t="s">
        <v>472</v>
      </c>
      <c r="H357" s="4" t="s">
        <v>486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63"/>
    </row>
    <row r="358" spans="1:26" ht="15.75" hidden="1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1041</v>
      </c>
      <c r="E358" s="110">
        <v>42635</v>
      </c>
      <c r="F358" s="109" t="s">
        <v>469</v>
      </c>
      <c r="G358" s="296" t="s">
        <v>472</v>
      </c>
      <c r="H358" s="4" t="s">
        <v>486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6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468</v>
      </c>
      <c r="E359" s="110">
        <v>42635</v>
      </c>
      <c r="F359" s="109" t="s">
        <v>463</v>
      </c>
      <c r="G359" s="296" t="s">
        <v>472</v>
      </c>
      <c r="H359" s="112" t="s">
        <v>440</v>
      </c>
      <c r="I359" s="133"/>
      <c r="J359" s="133"/>
      <c r="K359" s="401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6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468</v>
      </c>
      <c r="E360" s="110">
        <v>42635</v>
      </c>
      <c r="F360" s="109" t="s">
        <v>478</v>
      </c>
      <c r="G360" s="296" t="s">
        <v>472</v>
      </c>
      <c r="H360" s="4"/>
      <c r="I360" s="133"/>
      <c r="J360" s="133"/>
      <c r="K360" s="401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6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468</v>
      </c>
      <c r="E361" s="110">
        <v>42635</v>
      </c>
      <c r="F361" s="109" t="s">
        <v>479</v>
      </c>
      <c r="G361" s="296" t="s">
        <v>472</v>
      </c>
      <c r="H361" s="4"/>
      <c r="I361" s="133"/>
      <c r="J361" s="133"/>
      <c r="K361" s="401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6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468</v>
      </c>
      <c r="E362" s="110">
        <v>42635</v>
      </c>
      <c r="F362" s="109" t="s">
        <v>484</v>
      </c>
      <c r="G362" s="296" t="s">
        <v>472</v>
      </c>
      <c r="H362" s="4"/>
      <c r="I362" s="133"/>
      <c r="J362" s="133"/>
      <c r="K362" s="401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6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468</v>
      </c>
      <c r="E363" s="110">
        <v>42635</v>
      </c>
      <c r="F363" s="109" t="s">
        <v>485</v>
      </c>
      <c r="G363" s="296" t="s">
        <v>472</v>
      </c>
      <c r="H363" s="4"/>
      <c r="I363" s="133"/>
      <c r="J363" s="133"/>
      <c r="K363" s="401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63">
        <v>3</v>
      </c>
    </row>
    <row r="364" spans="1:26" ht="15.75" hidden="1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608</v>
      </c>
      <c r="E364" s="110">
        <v>42635</v>
      </c>
      <c r="F364" s="109" t="s">
        <v>513</v>
      </c>
      <c r="G364" s="296" t="s">
        <v>755</v>
      </c>
      <c r="H364" s="4" t="s">
        <v>364</v>
      </c>
      <c r="I364" s="133">
        <v>300</v>
      </c>
      <c r="J364" s="133">
        <v>10500</v>
      </c>
      <c r="K364" s="13">
        <f>ROUND(I364*J364,0)</f>
        <v>3150000</v>
      </c>
      <c r="L364" s="113" t="s">
        <v>251</v>
      </c>
      <c r="M364" s="402" t="s">
        <v>168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63"/>
    </row>
    <row r="365" spans="1:26" ht="15.75" hidden="1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608</v>
      </c>
      <c r="E365" s="110">
        <v>42635</v>
      </c>
      <c r="F365" s="109" t="s">
        <v>494</v>
      </c>
      <c r="G365" s="296" t="s">
        <v>755</v>
      </c>
      <c r="H365" s="4" t="s">
        <v>364</v>
      </c>
      <c r="I365" s="133"/>
      <c r="J365" s="133"/>
      <c r="K365" s="13">
        <v>315000</v>
      </c>
      <c r="L365" s="113" t="s">
        <v>251</v>
      </c>
      <c r="M365" s="402" t="s">
        <v>350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6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1042</v>
      </c>
      <c r="E366" s="110">
        <v>42636</v>
      </c>
      <c r="F366" s="109" t="s">
        <v>353</v>
      </c>
      <c r="G366" s="296" t="s">
        <v>978</v>
      </c>
      <c r="H366" s="112" t="s">
        <v>425</v>
      </c>
      <c r="I366" s="133"/>
      <c r="J366" s="133"/>
      <c r="K366" s="401">
        <v>3120000</v>
      </c>
      <c r="L366" s="402" t="s">
        <v>159</v>
      </c>
      <c r="M366" s="402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6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1042</v>
      </c>
      <c r="E367" s="110">
        <v>42636</v>
      </c>
      <c r="F367" s="109" t="s">
        <v>423</v>
      </c>
      <c r="G367" s="296" t="s">
        <v>978</v>
      </c>
      <c r="H367" s="112" t="s">
        <v>425</v>
      </c>
      <c r="I367" s="133"/>
      <c r="J367" s="133"/>
      <c r="K367" s="401">
        <v>312000</v>
      </c>
      <c r="L367" s="402" t="s">
        <v>9</v>
      </c>
      <c r="M367" s="402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6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468</v>
      </c>
      <c r="E368" s="110">
        <v>42638</v>
      </c>
      <c r="F368" s="109" t="s">
        <v>475</v>
      </c>
      <c r="G368" s="296" t="s">
        <v>472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6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468</v>
      </c>
      <c r="E369" s="110">
        <v>42638</v>
      </c>
      <c r="F369" s="109" t="s">
        <v>476</v>
      </c>
      <c r="G369" s="296" t="s">
        <v>472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63">
        <v>3</v>
      </c>
    </row>
    <row r="370" spans="1:26" ht="15.75" hidden="1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467</v>
      </c>
      <c r="E370" s="110">
        <v>42638</v>
      </c>
      <c r="F370" s="109" t="s">
        <v>474</v>
      </c>
      <c r="G370" s="296" t="s">
        <v>472</v>
      </c>
      <c r="H370" s="4"/>
      <c r="I370" s="133"/>
      <c r="J370" s="133"/>
      <c r="K370" s="401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63"/>
    </row>
    <row r="371" spans="1:26" ht="15.75" hidden="1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467</v>
      </c>
      <c r="E371" s="110">
        <v>42639</v>
      </c>
      <c r="F371" s="109" t="s">
        <v>482</v>
      </c>
      <c r="G371" s="296" t="s">
        <v>472</v>
      </c>
      <c r="H371" s="4" t="s">
        <v>369</v>
      </c>
      <c r="I371" s="133"/>
      <c r="J371" s="133"/>
      <c r="K371" s="401">
        <v>22226930</v>
      </c>
      <c r="L371" s="402" t="s">
        <v>24</v>
      </c>
      <c r="M371" s="402" t="s">
        <v>251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63"/>
    </row>
    <row r="372" spans="1:26" ht="15.75" hidden="1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1040</v>
      </c>
      <c r="E372" s="110">
        <v>42639</v>
      </c>
      <c r="F372" s="109" t="s">
        <v>483</v>
      </c>
      <c r="G372" s="296" t="s">
        <v>472</v>
      </c>
      <c r="H372" s="4" t="s">
        <v>486</v>
      </c>
      <c r="I372" s="133"/>
      <c r="J372" s="133"/>
      <c r="K372" s="401">
        <v>22000000</v>
      </c>
      <c r="L372" s="402" t="s">
        <v>46</v>
      </c>
      <c r="M372" s="402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63"/>
    </row>
    <row r="373" spans="1:26" ht="15.75" hidden="1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609</v>
      </c>
      <c r="E373" s="110">
        <v>42639</v>
      </c>
      <c r="F373" s="109" t="s">
        <v>547</v>
      </c>
      <c r="G373" s="296" t="s">
        <v>756</v>
      </c>
      <c r="H373" s="4" t="s">
        <v>616</v>
      </c>
      <c r="I373" s="133">
        <v>109</v>
      </c>
      <c r="J373" s="133">
        <v>6400</v>
      </c>
      <c r="K373" s="13">
        <f>ROUND(I373*J373,0)</f>
        <v>697600</v>
      </c>
      <c r="L373" s="113" t="s">
        <v>251</v>
      </c>
      <c r="M373" s="402" t="s">
        <v>168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63"/>
    </row>
    <row r="374" spans="1:26" ht="15.75" hidden="1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609</v>
      </c>
      <c r="E374" s="110">
        <v>42639</v>
      </c>
      <c r="F374" s="109" t="s">
        <v>548</v>
      </c>
      <c r="G374" s="296" t="s">
        <v>756</v>
      </c>
      <c r="H374" s="4" t="s">
        <v>616</v>
      </c>
      <c r="I374" s="133">
        <v>102</v>
      </c>
      <c r="J374" s="133">
        <v>7300</v>
      </c>
      <c r="K374" s="13">
        <f>ROUND(I374*J374,0)</f>
        <v>744600</v>
      </c>
      <c r="L374" s="113" t="s">
        <v>251</v>
      </c>
      <c r="M374" s="402" t="s">
        <v>168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63"/>
    </row>
    <row r="375" spans="1:26" ht="15.75" hidden="1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609</v>
      </c>
      <c r="E375" s="110">
        <v>42639</v>
      </c>
      <c r="F375" s="109" t="s">
        <v>661</v>
      </c>
      <c r="G375" s="296" t="s">
        <v>756</v>
      </c>
      <c r="H375" s="4" t="s">
        <v>616</v>
      </c>
      <c r="I375" s="133">
        <v>56</v>
      </c>
      <c r="J375" s="133">
        <v>11250</v>
      </c>
      <c r="K375" s="13">
        <f>ROUND(I375*J375,0)</f>
        <v>630000</v>
      </c>
      <c r="L375" s="113" t="s">
        <v>251</v>
      </c>
      <c r="M375" s="402" t="s">
        <v>168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63"/>
    </row>
    <row r="376" spans="1:26" ht="15.75" hidden="1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609</v>
      </c>
      <c r="E376" s="110">
        <v>42639</v>
      </c>
      <c r="F376" s="109" t="s">
        <v>494</v>
      </c>
      <c r="G376" s="296" t="s">
        <v>756</v>
      </c>
      <c r="H376" s="4" t="s">
        <v>616</v>
      </c>
      <c r="I376" s="133"/>
      <c r="J376" s="133"/>
      <c r="K376" s="13">
        <v>207220</v>
      </c>
      <c r="L376" s="113" t="s">
        <v>251</v>
      </c>
      <c r="M376" s="402" t="s">
        <v>350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63"/>
    </row>
    <row r="377" spans="1:26" ht="15.75" hidden="1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610</v>
      </c>
      <c r="E377" s="110">
        <v>42640</v>
      </c>
      <c r="F377" s="109" t="s">
        <v>498</v>
      </c>
      <c r="G377" s="296" t="s">
        <v>757</v>
      </c>
      <c r="H377" s="4" t="s">
        <v>369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251</v>
      </c>
      <c r="M377" s="402" t="s">
        <v>168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63"/>
    </row>
    <row r="378" spans="1:26" ht="15.75" hidden="1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610</v>
      </c>
      <c r="E378" s="110">
        <v>42640</v>
      </c>
      <c r="F378" s="109" t="s">
        <v>494</v>
      </c>
      <c r="G378" s="296" t="s">
        <v>757</v>
      </c>
      <c r="H378" s="4" t="s">
        <v>369</v>
      </c>
      <c r="I378" s="133"/>
      <c r="J378" s="133"/>
      <c r="K378" s="13">
        <v>501020</v>
      </c>
      <c r="L378" s="113" t="s">
        <v>251</v>
      </c>
      <c r="M378" s="402" t="s">
        <v>350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63"/>
    </row>
    <row r="379" spans="1:26" ht="15.75" hidden="1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611</v>
      </c>
      <c r="E379" s="110">
        <v>42640</v>
      </c>
      <c r="F379" s="109" t="s">
        <v>498</v>
      </c>
      <c r="G379" s="296" t="s">
        <v>758</v>
      </c>
      <c r="H379" s="4" t="s">
        <v>369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251</v>
      </c>
      <c r="M379" s="402" t="s">
        <v>168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63"/>
    </row>
    <row r="380" spans="1:26" ht="15.75" hidden="1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611</v>
      </c>
      <c r="E380" s="110">
        <v>42640</v>
      </c>
      <c r="F380" s="109" t="s">
        <v>652</v>
      </c>
      <c r="G380" s="296" t="s">
        <v>758</v>
      </c>
      <c r="H380" s="4" t="s">
        <v>369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251</v>
      </c>
      <c r="M380" s="402" t="s">
        <v>168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63"/>
    </row>
    <row r="381" spans="1:26" ht="15.75" hidden="1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611</v>
      </c>
      <c r="E381" s="110">
        <v>42640</v>
      </c>
      <c r="F381" s="109" t="s">
        <v>653</v>
      </c>
      <c r="G381" s="296" t="s">
        <v>758</v>
      </c>
      <c r="H381" s="4" t="s">
        <v>369</v>
      </c>
      <c r="I381" s="133">
        <v>44</v>
      </c>
      <c r="J381" s="133">
        <v>17600</v>
      </c>
      <c r="K381" s="13">
        <f>ROUND(I381*J381,0)</f>
        <v>774400</v>
      </c>
      <c r="L381" s="113" t="s">
        <v>251</v>
      </c>
      <c r="M381" s="402" t="s">
        <v>168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63"/>
    </row>
    <row r="382" spans="1:26" ht="15.75" hidden="1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611</v>
      </c>
      <c r="E382" s="110">
        <v>42640</v>
      </c>
      <c r="F382" s="109" t="s">
        <v>494</v>
      </c>
      <c r="G382" s="296" t="s">
        <v>758</v>
      </c>
      <c r="H382" s="4" t="s">
        <v>369</v>
      </c>
      <c r="I382" s="133"/>
      <c r="J382" s="133"/>
      <c r="K382" s="13">
        <v>2214880</v>
      </c>
      <c r="L382" s="113" t="s">
        <v>251</v>
      </c>
      <c r="M382" s="402" t="s">
        <v>350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63"/>
    </row>
    <row r="383" spans="1:26" ht="15.75" hidden="1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612</v>
      </c>
      <c r="E383" s="110">
        <v>42640</v>
      </c>
      <c r="F383" s="109" t="s">
        <v>530</v>
      </c>
      <c r="G383" s="296" t="s">
        <v>432</v>
      </c>
      <c r="H383" s="4" t="s">
        <v>549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251</v>
      </c>
      <c r="M383" s="402" t="s">
        <v>168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63"/>
    </row>
    <row r="384" spans="1:26" ht="15.75" hidden="1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612</v>
      </c>
      <c r="E384" s="110">
        <v>42640</v>
      </c>
      <c r="F384" s="109" t="s">
        <v>540</v>
      </c>
      <c r="G384" s="296" t="s">
        <v>432</v>
      </c>
      <c r="H384" s="4" t="s">
        <v>549</v>
      </c>
      <c r="I384" s="133"/>
      <c r="J384" s="133"/>
      <c r="K384" s="13">
        <v>315180</v>
      </c>
      <c r="L384" s="113" t="s">
        <v>251</v>
      </c>
      <c r="M384" s="402" t="s">
        <v>350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63"/>
    </row>
    <row r="385" spans="1:26" ht="15.75" hidden="1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1039</v>
      </c>
      <c r="E385" s="110">
        <v>42640</v>
      </c>
      <c r="F385" s="111" t="s">
        <v>482</v>
      </c>
      <c r="G385" s="296" t="s">
        <v>432</v>
      </c>
      <c r="H385" s="4" t="s">
        <v>549</v>
      </c>
      <c r="I385" s="133"/>
      <c r="J385" s="133"/>
      <c r="K385" s="13">
        <v>3466980</v>
      </c>
      <c r="L385" s="113" t="s">
        <v>46</v>
      </c>
      <c r="M385" s="402" t="s">
        <v>251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63"/>
    </row>
    <row r="386" spans="1:26" ht="15.75" hidden="1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613</v>
      </c>
      <c r="E386" s="110">
        <v>42641</v>
      </c>
      <c r="F386" s="109" t="s">
        <v>509</v>
      </c>
      <c r="G386" s="296" t="s">
        <v>429</v>
      </c>
      <c r="H386" s="4" t="s">
        <v>616</v>
      </c>
      <c r="I386" s="133">
        <v>211</v>
      </c>
      <c r="J386" s="133">
        <v>12900</v>
      </c>
      <c r="K386" s="13">
        <f>ROUND(I386*J386,0)</f>
        <v>2721900</v>
      </c>
      <c r="L386" s="113" t="s">
        <v>251</v>
      </c>
      <c r="M386" s="402" t="s">
        <v>168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63"/>
    </row>
    <row r="387" spans="1:26" ht="15.75" hidden="1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613</v>
      </c>
      <c r="E387" s="110">
        <v>42641</v>
      </c>
      <c r="F387" s="109" t="s">
        <v>494</v>
      </c>
      <c r="G387" s="296" t="s">
        <v>429</v>
      </c>
      <c r="H387" s="4" t="s">
        <v>616</v>
      </c>
      <c r="I387" s="133"/>
      <c r="J387" s="133"/>
      <c r="K387" s="13">
        <v>272190</v>
      </c>
      <c r="L387" s="113" t="s">
        <v>251</v>
      </c>
      <c r="M387" s="402" t="s">
        <v>350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63"/>
    </row>
    <row r="388" spans="1:26" ht="15.75" hidden="1" customHeight="1">
      <c r="A388" s="120" t="str">
        <f>IF(B388&lt;&gt;"",IF(AND(B388&gt;=_TM1,B388&lt;=_TM2,OR(TH!L388="1111",TH!M388="1111")),TH!D388,""),"")</f>
        <v/>
      </c>
      <c r="B388" s="580">
        <f t="shared" si="13"/>
        <v>9</v>
      </c>
      <c r="C388" s="557">
        <f t="shared" si="14"/>
        <v>42643</v>
      </c>
      <c r="D388" s="557" t="s">
        <v>323</v>
      </c>
      <c r="E388" s="557">
        <v>42643</v>
      </c>
      <c r="F388" s="560" t="s">
        <v>819</v>
      </c>
      <c r="G388" s="576"/>
      <c r="H388" s="577"/>
      <c r="I388" s="559"/>
      <c r="J388" s="559"/>
      <c r="K388" s="562">
        <v>4375000</v>
      </c>
      <c r="L388" s="578" t="s">
        <v>82</v>
      </c>
      <c r="M388" s="578" t="s">
        <v>254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79"/>
    </row>
    <row r="389" spans="1:26" ht="15.75" hidden="1" customHeight="1">
      <c r="A389" s="120" t="str">
        <f>IF(B389&lt;&gt;"",IF(AND(B389&gt;=_TM1,B389&lt;=_TM2,OR(TH!L389="1111",TH!M389="1111")),TH!D389,""),"")</f>
        <v/>
      </c>
      <c r="B389" s="580">
        <f t="shared" si="13"/>
        <v>9</v>
      </c>
      <c r="C389" s="557">
        <f t="shared" si="14"/>
        <v>42643</v>
      </c>
      <c r="D389" s="557" t="s">
        <v>323</v>
      </c>
      <c r="E389" s="557">
        <v>42643</v>
      </c>
      <c r="F389" s="560" t="s">
        <v>820</v>
      </c>
      <c r="G389" s="576"/>
      <c r="H389" s="577"/>
      <c r="I389" s="559"/>
      <c r="J389" s="559"/>
      <c r="K389" s="562">
        <v>13900000</v>
      </c>
      <c r="L389" s="578" t="s">
        <v>159</v>
      </c>
      <c r="M389" s="578" t="s">
        <v>254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79"/>
    </row>
    <row r="390" spans="1:26" ht="15.75" hidden="1" customHeight="1">
      <c r="A390" s="120" t="str">
        <f>IF(B390&lt;&gt;"",IF(AND(B390&gt;=_TM1,B390&lt;=_TM2,OR(TH!L390="1111",TH!M390="1111")),TH!D390,""),"")</f>
        <v/>
      </c>
      <c r="B390" s="580">
        <f t="shared" si="13"/>
        <v>9</v>
      </c>
      <c r="C390" s="557">
        <f t="shared" si="14"/>
        <v>42643</v>
      </c>
      <c r="D390" s="557" t="s">
        <v>1043</v>
      </c>
      <c r="E390" s="557">
        <v>42643</v>
      </c>
      <c r="F390" s="560" t="str">
        <f>"Thanh toán tiền lương tháng "&amp;MONTH(E390)&amp;"/"&amp;YEAR(E390)</f>
        <v>Thanh toán tiền lương tháng 9/2016</v>
      </c>
      <c r="G390" s="576"/>
      <c r="H390" s="577" t="s">
        <v>794</v>
      </c>
      <c r="I390" s="559"/>
      <c r="J390" s="559"/>
      <c r="K390" s="562">
        <f>K388+K389</f>
        <v>18275000</v>
      </c>
      <c r="L390" s="578" t="s">
        <v>254</v>
      </c>
      <c r="M390" s="57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7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1044</v>
      </c>
      <c r="E391" s="105">
        <v>42643</v>
      </c>
      <c r="F391" s="109" t="s">
        <v>353</v>
      </c>
      <c r="G391" s="296" t="s">
        <v>449</v>
      </c>
      <c r="H391" s="112" t="s">
        <v>421</v>
      </c>
      <c r="I391" s="133"/>
      <c r="J391" s="133"/>
      <c r="K391" s="401">
        <v>2050000</v>
      </c>
      <c r="L391" s="402" t="s">
        <v>159</v>
      </c>
      <c r="M391" s="402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6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1044</v>
      </c>
      <c r="E392" s="105">
        <v>42643</v>
      </c>
      <c r="F392" s="109" t="s">
        <v>423</v>
      </c>
      <c r="G392" s="296" t="s">
        <v>449</v>
      </c>
      <c r="H392" s="112" t="s">
        <v>421</v>
      </c>
      <c r="I392" s="133"/>
      <c r="J392" s="133"/>
      <c r="K392" s="401">
        <v>205000</v>
      </c>
      <c r="L392" s="402" t="s">
        <v>9</v>
      </c>
      <c r="M392" s="402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6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1045</v>
      </c>
      <c r="E393" s="105">
        <v>42643</v>
      </c>
      <c r="F393" s="109" t="s">
        <v>624</v>
      </c>
      <c r="G393" s="296"/>
      <c r="H393" s="112" t="s">
        <v>486</v>
      </c>
      <c r="I393" s="133"/>
      <c r="J393" s="133"/>
      <c r="K393" s="401">
        <f>(8*15000+5*20000+6*10000+4*30000+1*40000)/1.1</f>
        <v>399999.99999999994</v>
      </c>
      <c r="L393" s="402" t="s">
        <v>253</v>
      </c>
      <c r="M393" s="402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6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1045</v>
      </c>
      <c r="E394" s="105">
        <v>42643</v>
      </c>
      <c r="F394" s="109" t="s">
        <v>625</v>
      </c>
      <c r="G394" s="296"/>
      <c r="H394" s="112"/>
      <c r="I394" s="133"/>
      <c r="J394" s="133"/>
      <c r="K394" s="401">
        <v>40000</v>
      </c>
      <c r="L394" s="402" t="s">
        <v>9</v>
      </c>
      <c r="M394" s="402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63">
        <v>3</v>
      </c>
    </row>
    <row r="395" spans="1:26" ht="15.75" hidden="1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323</v>
      </c>
      <c r="E395" s="105">
        <v>42576</v>
      </c>
      <c r="F395" s="109" t="s">
        <v>798</v>
      </c>
      <c r="G395" s="296" t="s">
        <v>432</v>
      </c>
      <c r="H395" s="112" t="s">
        <v>622</v>
      </c>
      <c r="I395" s="133"/>
      <c r="J395" s="133"/>
      <c r="K395" s="401">
        <v>37000000</v>
      </c>
      <c r="L395" s="402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63">
        <v>3</v>
      </c>
    </row>
    <row r="396" spans="1:26" ht="15.75" hidden="1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323</v>
      </c>
      <c r="E396" s="105">
        <v>42576</v>
      </c>
      <c r="F396" s="109" t="s">
        <v>433</v>
      </c>
      <c r="G396" s="296" t="s">
        <v>432</v>
      </c>
      <c r="H396" s="112" t="s">
        <v>622</v>
      </c>
      <c r="I396" s="133"/>
      <c r="J396" s="133"/>
      <c r="K396" s="401">
        <v>3700000</v>
      </c>
      <c r="L396" s="402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63">
        <v>3</v>
      </c>
    </row>
    <row r="397" spans="1:26" ht="15.75" hidden="1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323</v>
      </c>
      <c r="E397" s="105">
        <v>42602</v>
      </c>
      <c r="F397" s="109" t="s">
        <v>977</v>
      </c>
      <c r="G397" s="298" t="s">
        <v>434</v>
      </c>
      <c r="H397" s="112" t="s">
        <v>622</v>
      </c>
      <c r="I397" s="133"/>
      <c r="J397" s="133"/>
      <c r="K397" s="401">
        <v>37000000</v>
      </c>
      <c r="L397" s="402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63">
        <v>3</v>
      </c>
    </row>
    <row r="398" spans="1:26" ht="15.75" hidden="1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323</v>
      </c>
      <c r="E398" s="105">
        <v>42602</v>
      </c>
      <c r="F398" s="109" t="s">
        <v>433</v>
      </c>
      <c r="G398" s="298" t="s">
        <v>434</v>
      </c>
      <c r="H398" s="112" t="s">
        <v>622</v>
      </c>
      <c r="I398" s="133"/>
      <c r="J398" s="133"/>
      <c r="K398" s="401">
        <v>3700000</v>
      </c>
      <c r="L398" s="402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63">
        <v>3</v>
      </c>
    </row>
    <row r="399" spans="1:26" ht="15.75" hidden="1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323</v>
      </c>
      <c r="E399" s="105">
        <v>42638</v>
      </c>
      <c r="F399" s="109" t="s">
        <v>976</v>
      </c>
      <c r="G399" s="298" t="s">
        <v>813</v>
      </c>
      <c r="H399" s="112" t="s">
        <v>622</v>
      </c>
      <c r="I399" s="133"/>
      <c r="J399" s="133"/>
      <c r="K399" s="401">
        <v>37000000</v>
      </c>
      <c r="L399" s="402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63">
        <v>4</v>
      </c>
    </row>
    <row r="400" spans="1:26" ht="15.75" hidden="1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323</v>
      </c>
      <c r="E400" s="105">
        <v>42638</v>
      </c>
      <c r="F400" s="109" t="s">
        <v>433</v>
      </c>
      <c r="G400" s="298" t="s">
        <v>813</v>
      </c>
      <c r="H400" s="112" t="s">
        <v>622</v>
      </c>
      <c r="I400" s="133"/>
      <c r="J400" s="133"/>
      <c r="K400" s="401">
        <v>3700000</v>
      </c>
      <c r="L400" s="402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63">
        <v>4</v>
      </c>
    </row>
    <row r="401" spans="1:26" ht="15.75" hidden="1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467</v>
      </c>
      <c r="E401" s="110">
        <v>42643</v>
      </c>
      <c r="F401" s="109" t="s">
        <v>482</v>
      </c>
      <c r="G401" s="296" t="s">
        <v>472</v>
      </c>
      <c r="H401" s="4" t="s">
        <v>369</v>
      </c>
      <c r="I401" s="133"/>
      <c r="J401" s="133"/>
      <c r="K401" s="401">
        <v>19101500</v>
      </c>
      <c r="L401" s="402" t="s">
        <v>24</v>
      </c>
      <c r="M401" s="402" t="s">
        <v>251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63"/>
    </row>
    <row r="402" spans="1:26" ht="15.75" hidden="1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57">
        <f>E402</f>
        <v>42644</v>
      </c>
      <c r="D402" s="557" t="s">
        <v>323</v>
      </c>
      <c r="E402" s="557">
        <v>42644</v>
      </c>
      <c r="F402" s="560" t="s">
        <v>818</v>
      </c>
      <c r="G402" s="558"/>
      <c r="H402" s="577"/>
      <c r="I402" s="559"/>
      <c r="J402" s="559"/>
      <c r="K402" s="562">
        <v>13250000</v>
      </c>
      <c r="L402" s="578" t="s">
        <v>159</v>
      </c>
      <c r="M402" s="578" t="s">
        <v>252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7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450</v>
      </c>
      <c r="E403" s="105">
        <v>42643</v>
      </c>
      <c r="F403" s="109" t="s">
        <v>771</v>
      </c>
      <c r="G403" s="296" t="s">
        <v>975</v>
      </c>
      <c r="H403" s="112" t="s">
        <v>407</v>
      </c>
      <c r="I403" s="133"/>
      <c r="J403" s="133"/>
      <c r="K403" s="401">
        <v>1000000</v>
      </c>
      <c r="L403" s="402" t="s">
        <v>253</v>
      </c>
      <c r="M403" s="402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6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450</v>
      </c>
      <c r="E404" s="105">
        <v>42643</v>
      </c>
      <c r="F404" s="109" t="s">
        <v>772</v>
      </c>
      <c r="G404" s="296" t="s">
        <v>975</v>
      </c>
      <c r="H404" s="112" t="s">
        <v>407</v>
      </c>
      <c r="I404" s="133"/>
      <c r="J404" s="133"/>
      <c r="K404" s="401">
        <v>100000</v>
      </c>
      <c r="L404" s="402" t="s">
        <v>9</v>
      </c>
      <c r="M404" s="402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6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451</v>
      </c>
      <c r="E405" s="110">
        <v>42644</v>
      </c>
      <c r="F405" s="109" t="s">
        <v>784</v>
      </c>
      <c r="G405" s="298" t="s">
        <v>783</v>
      </c>
      <c r="H405" s="4" t="s">
        <v>782</v>
      </c>
      <c r="I405" s="135"/>
      <c r="J405" s="135"/>
      <c r="K405" s="13">
        <v>3910000</v>
      </c>
      <c r="L405" s="113" t="s">
        <v>82</v>
      </c>
      <c r="M405" s="402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6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451</v>
      </c>
      <c r="E406" s="110">
        <v>42644</v>
      </c>
      <c r="F406" s="109" t="s">
        <v>785</v>
      </c>
      <c r="G406" s="298" t="s">
        <v>783</v>
      </c>
      <c r="H406" s="4" t="s">
        <v>782</v>
      </c>
      <c r="I406" s="135"/>
      <c r="J406" s="135"/>
      <c r="K406" s="13">
        <v>391000</v>
      </c>
      <c r="L406" s="113" t="s">
        <v>9</v>
      </c>
      <c r="M406" s="402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63">
        <v>4</v>
      </c>
    </row>
    <row r="407" spans="1:26" ht="15.75" hidden="1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343</v>
      </c>
      <c r="E407" s="110">
        <v>42646</v>
      </c>
      <c r="F407" s="111" t="s">
        <v>483</v>
      </c>
      <c r="G407" s="111" t="s">
        <v>472</v>
      </c>
      <c r="H407" s="112" t="s">
        <v>486</v>
      </c>
      <c r="I407" s="133"/>
      <c r="J407" s="133"/>
      <c r="K407" s="13">
        <v>19000000</v>
      </c>
      <c r="L407" s="113" t="s">
        <v>46</v>
      </c>
      <c r="M407" s="402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6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452</v>
      </c>
      <c r="E408" s="110">
        <v>42646</v>
      </c>
      <c r="F408" s="109" t="s">
        <v>771</v>
      </c>
      <c r="G408" s="298" t="s">
        <v>696</v>
      </c>
      <c r="H408" s="125" t="s">
        <v>695</v>
      </c>
      <c r="I408" s="133"/>
      <c r="J408" s="133"/>
      <c r="K408" s="13">
        <v>5100454</v>
      </c>
      <c r="L408" s="113" t="s">
        <v>253</v>
      </c>
      <c r="M408" s="402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6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452</v>
      </c>
      <c r="E409" s="110">
        <v>42646</v>
      </c>
      <c r="F409" s="109" t="s">
        <v>772</v>
      </c>
      <c r="G409" s="298" t="s">
        <v>696</v>
      </c>
      <c r="H409" s="125" t="s">
        <v>695</v>
      </c>
      <c r="I409" s="133"/>
      <c r="J409" s="133"/>
      <c r="K409" s="13">
        <v>510046</v>
      </c>
      <c r="L409" s="113" t="s">
        <v>9</v>
      </c>
      <c r="M409" s="402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63">
        <v>4</v>
      </c>
    </row>
    <row r="410" spans="1:26" ht="15.75" hidden="1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455</v>
      </c>
      <c r="E410" s="110">
        <v>42647</v>
      </c>
      <c r="F410" s="109" t="s">
        <v>469</v>
      </c>
      <c r="G410" s="111" t="s">
        <v>472</v>
      </c>
      <c r="H410" s="112" t="s">
        <v>486</v>
      </c>
      <c r="I410" s="133"/>
      <c r="J410" s="135"/>
      <c r="K410" s="13">
        <v>50000000</v>
      </c>
      <c r="L410" s="113" t="s">
        <v>24</v>
      </c>
      <c r="M410" s="402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6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468</v>
      </c>
      <c r="E411" s="110">
        <v>42647</v>
      </c>
      <c r="F411" s="111" t="s">
        <v>463</v>
      </c>
      <c r="G411" s="111" t="s">
        <v>472</v>
      </c>
      <c r="H411" s="547" t="s">
        <v>397</v>
      </c>
      <c r="I411" s="133"/>
      <c r="J411" s="133"/>
      <c r="K411" s="13">
        <v>50000000</v>
      </c>
      <c r="L411" s="113" t="s">
        <v>8</v>
      </c>
      <c r="M411" s="402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6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468</v>
      </c>
      <c r="E412" s="110">
        <v>42647</v>
      </c>
      <c r="F412" s="111" t="s">
        <v>478</v>
      </c>
      <c r="G412" s="111" t="s">
        <v>472</v>
      </c>
      <c r="H412" s="125"/>
      <c r="I412" s="133"/>
      <c r="J412" s="133"/>
      <c r="K412" s="13">
        <v>10000</v>
      </c>
      <c r="L412" s="113" t="s">
        <v>82</v>
      </c>
      <c r="M412" s="402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6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468</v>
      </c>
      <c r="E413" s="110">
        <v>42647</v>
      </c>
      <c r="F413" s="111" t="s">
        <v>479</v>
      </c>
      <c r="G413" s="111" t="s">
        <v>472</v>
      </c>
      <c r="H413" s="125"/>
      <c r="I413" s="135"/>
      <c r="J413" s="135"/>
      <c r="K413" s="13">
        <v>1000</v>
      </c>
      <c r="L413" s="113" t="s">
        <v>9</v>
      </c>
      <c r="M413" s="402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63">
        <v>4</v>
      </c>
    </row>
    <row r="414" spans="1:26" ht="15.75" hidden="1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550</v>
      </c>
      <c r="E414" s="110">
        <v>42647</v>
      </c>
      <c r="F414" s="109" t="s">
        <v>800</v>
      </c>
      <c r="G414" s="296" t="s">
        <v>799</v>
      </c>
      <c r="H414" s="4" t="s">
        <v>364</v>
      </c>
      <c r="I414" s="133">
        <v>423</v>
      </c>
      <c r="J414" s="133">
        <v>8800</v>
      </c>
      <c r="K414" s="13">
        <f>ROUND(I414*J414,0)</f>
        <v>3722400</v>
      </c>
      <c r="L414" s="113" t="s">
        <v>251</v>
      </c>
      <c r="M414" s="402" t="s">
        <v>168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63"/>
    </row>
    <row r="415" spans="1:26" ht="15.75" hidden="1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550</v>
      </c>
      <c r="E415" s="110">
        <v>42647</v>
      </c>
      <c r="F415" s="109" t="s">
        <v>494</v>
      </c>
      <c r="G415" s="296" t="s">
        <v>799</v>
      </c>
      <c r="H415" s="4" t="s">
        <v>364</v>
      </c>
      <c r="I415" s="133"/>
      <c r="J415" s="133"/>
      <c r="K415" s="13">
        <v>372240</v>
      </c>
      <c r="L415" s="113" t="s">
        <v>251</v>
      </c>
      <c r="M415" s="402" t="s">
        <v>350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63"/>
    </row>
    <row r="416" spans="1:26" ht="15.75" hidden="1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551</v>
      </c>
      <c r="E416" s="110">
        <v>42647</v>
      </c>
      <c r="F416" s="109" t="s">
        <v>802</v>
      </c>
      <c r="G416" s="296" t="s">
        <v>801</v>
      </c>
      <c r="H416" s="4" t="s">
        <v>367</v>
      </c>
      <c r="I416" s="133">
        <v>943</v>
      </c>
      <c r="J416" s="133">
        <v>7135</v>
      </c>
      <c r="K416" s="13">
        <f>ROUND(I416*J416,0)</f>
        <v>6728305</v>
      </c>
      <c r="L416" s="113" t="s">
        <v>251</v>
      </c>
      <c r="M416" s="402" t="s">
        <v>168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63"/>
    </row>
    <row r="417" spans="1:26" ht="15.75" hidden="1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551</v>
      </c>
      <c r="E417" s="110">
        <v>42647</v>
      </c>
      <c r="F417" s="109" t="s">
        <v>803</v>
      </c>
      <c r="G417" s="296" t="s">
        <v>801</v>
      </c>
      <c r="H417" s="4" t="s">
        <v>367</v>
      </c>
      <c r="I417" s="133">
        <v>270</v>
      </c>
      <c r="J417" s="133">
        <v>8719</v>
      </c>
      <c r="K417" s="13">
        <f>ROUND(I417*J417,0)</f>
        <v>2354130</v>
      </c>
      <c r="L417" s="113" t="s">
        <v>251</v>
      </c>
      <c r="M417" s="402" t="s">
        <v>168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63"/>
    </row>
    <row r="418" spans="1:26" ht="15.75" hidden="1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551</v>
      </c>
      <c r="E418" s="110">
        <v>42647</v>
      </c>
      <c r="F418" s="109" t="s">
        <v>494</v>
      </c>
      <c r="G418" s="296" t="s">
        <v>801</v>
      </c>
      <c r="H418" s="4" t="s">
        <v>367</v>
      </c>
      <c r="I418" s="133"/>
      <c r="J418" s="133"/>
      <c r="K418" s="13">
        <v>908243</v>
      </c>
      <c r="L418" s="113" t="s">
        <v>251</v>
      </c>
      <c r="M418" s="402" t="s">
        <v>350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63"/>
    </row>
    <row r="419" spans="1:26" ht="15.75" hidden="1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344</v>
      </c>
      <c r="E419" s="110">
        <v>42647</v>
      </c>
      <c r="F419" s="111" t="s">
        <v>482</v>
      </c>
      <c r="G419" s="296" t="s">
        <v>801</v>
      </c>
      <c r="H419" s="4" t="s">
        <v>367</v>
      </c>
      <c r="I419" s="133"/>
      <c r="J419" s="133"/>
      <c r="K419" s="13">
        <v>9990678</v>
      </c>
      <c r="L419" s="113" t="s">
        <v>46</v>
      </c>
      <c r="M419" s="402" t="s">
        <v>251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63"/>
    </row>
    <row r="420" spans="1:26" ht="15.75" hidden="1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348</v>
      </c>
      <c r="E420" s="110">
        <v>42648</v>
      </c>
      <c r="F420" s="111" t="s">
        <v>482</v>
      </c>
      <c r="G420" s="296" t="s">
        <v>1021</v>
      </c>
      <c r="H420" s="4" t="s">
        <v>616</v>
      </c>
      <c r="I420" s="133"/>
      <c r="J420" s="133"/>
      <c r="K420" s="13">
        <f>2994090+2192080+6443525+2279420</f>
        <v>13909115</v>
      </c>
      <c r="L420" s="113" t="s">
        <v>46</v>
      </c>
      <c r="M420" s="402" t="s">
        <v>251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63"/>
    </row>
    <row r="421" spans="1:26" ht="15.75" hidden="1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552</v>
      </c>
      <c r="E421" s="110">
        <v>42648</v>
      </c>
      <c r="F421" s="109" t="s">
        <v>805</v>
      </c>
      <c r="G421" s="296" t="s">
        <v>804</v>
      </c>
      <c r="H421" s="4" t="s">
        <v>616</v>
      </c>
      <c r="I421" s="133">
        <v>305</v>
      </c>
      <c r="J421" s="133">
        <v>9400</v>
      </c>
      <c r="K421" s="13">
        <f>ROUND(I421*J421,0)</f>
        <v>2867000</v>
      </c>
      <c r="L421" s="113" t="s">
        <v>251</v>
      </c>
      <c r="M421" s="402" t="s">
        <v>168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63"/>
    </row>
    <row r="422" spans="1:26" ht="15.75" hidden="1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552</v>
      </c>
      <c r="E422" s="110">
        <v>42648</v>
      </c>
      <c r="F422" s="109" t="s">
        <v>806</v>
      </c>
      <c r="G422" s="296" t="s">
        <v>804</v>
      </c>
      <c r="H422" s="4" t="s">
        <v>616</v>
      </c>
      <c r="I422" s="133">
        <v>55</v>
      </c>
      <c r="J422" s="133">
        <v>12000</v>
      </c>
      <c r="K422" s="13">
        <f>ROUND(I422*J422,0)</f>
        <v>660000</v>
      </c>
      <c r="L422" s="113" t="s">
        <v>251</v>
      </c>
      <c r="M422" s="402" t="s">
        <v>168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63"/>
    </row>
    <row r="423" spans="1:26" ht="15.75" hidden="1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552</v>
      </c>
      <c r="E423" s="110">
        <v>42648</v>
      </c>
      <c r="F423" s="109" t="s">
        <v>807</v>
      </c>
      <c r="G423" s="296" t="s">
        <v>804</v>
      </c>
      <c r="H423" s="4" t="s">
        <v>616</v>
      </c>
      <c r="I423" s="133">
        <v>205</v>
      </c>
      <c r="J423" s="133">
        <v>3200</v>
      </c>
      <c r="K423" s="13">
        <f>ROUND(I423*J423,0)</f>
        <v>656000</v>
      </c>
      <c r="L423" s="113" t="s">
        <v>251</v>
      </c>
      <c r="M423" s="402" t="s">
        <v>168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63"/>
    </row>
    <row r="424" spans="1:26" ht="15.75" hidden="1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552</v>
      </c>
      <c r="E424" s="110">
        <v>42648</v>
      </c>
      <c r="F424" s="109" t="s">
        <v>494</v>
      </c>
      <c r="G424" s="296" t="s">
        <v>804</v>
      </c>
      <c r="H424" s="4" t="s">
        <v>616</v>
      </c>
      <c r="I424" s="133"/>
      <c r="J424" s="133"/>
      <c r="K424" s="13">
        <v>418300</v>
      </c>
      <c r="L424" s="113" t="s">
        <v>251</v>
      </c>
      <c r="M424" s="402" t="s">
        <v>350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63"/>
    </row>
    <row r="425" spans="1:26" ht="15.75" hidden="1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553</v>
      </c>
      <c r="E425" s="110">
        <v>42648</v>
      </c>
      <c r="F425" s="109" t="s">
        <v>518</v>
      </c>
      <c r="G425" s="296" t="s">
        <v>808</v>
      </c>
      <c r="H425" s="4" t="s">
        <v>363</v>
      </c>
      <c r="I425" s="133">
        <v>320</v>
      </c>
      <c r="J425" s="133">
        <v>5000</v>
      </c>
      <c r="K425" s="13">
        <f>ROUND(I425*J425,0)</f>
        <v>1600000</v>
      </c>
      <c r="L425" s="113" t="s">
        <v>251</v>
      </c>
      <c r="M425" s="402" t="s">
        <v>168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63"/>
    </row>
    <row r="426" spans="1:26" ht="15.75" hidden="1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553</v>
      </c>
      <c r="E426" s="110">
        <v>42648</v>
      </c>
      <c r="F426" s="109" t="s">
        <v>520</v>
      </c>
      <c r="G426" s="296" t="s">
        <v>808</v>
      </c>
      <c r="H426" s="4" t="s">
        <v>363</v>
      </c>
      <c r="I426" s="133">
        <v>659</v>
      </c>
      <c r="J426" s="133">
        <v>9700</v>
      </c>
      <c r="K426" s="13">
        <f>ROUND(I426*J426,0)</f>
        <v>6392300</v>
      </c>
      <c r="L426" s="113" t="s">
        <v>251</v>
      </c>
      <c r="M426" s="402" t="s">
        <v>168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63"/>
    </row>
    <row r="427" spans="1:26" ht="15.75" hidden="1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553</v>
      </c>
      <c r="E427" s="110">
        <v>42648</v>
      </c>
      <c r="F427" s="109" t="s">
        <v>494</v>
      </c>
      <c r="G427" s="296" t="s">
        <v>808</v>
      </c>
      <c r="H427" s="4" t="s">
        <v>363</v>
      </c>
      <c r="I427" s="133"/>
      <c r="J427" s="133"/>
      <c r="K427" s="13">
        <v>799230</v>
      </c>
      <c r="L427" s="113" t="s">
        <v>251</v>
      </c>
      <c r="M427" s="402" t="s">
        <v>350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63"/>
    </row>
    <row r="428" spans="1:26" ht="15.75" hidden="1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554</v>
      </c>
      <c r="E428" s="110">
        <v>42649</v>
      </c>
      <c r="F428" s="109" t="s">
        <v>524</v>
      </c>
      <c r="G428" s="296" t="s">
        <v>434</v>
      </c>
      <c r="H428" s="112" t="s">
        <v>523</v>
      </c>
      <c r="I428" s="133">
        <v>400</v>
      </c>
      <c r="J428" s="133">
        <v>20000</v>
      </c>
      <c r="K428" s="13">
        <f>ROUND(I428*J428,0)</f>
        <v>8000000</v>
      </c>
      <c r="L428" s="113" t="s">
        <v>251</v>
      </c>
      <c r="M428" s="402" t="s">
        <v>168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63"/>
    </row>
    <row r="429" spans="1:26" ht="15.75" hidden="1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554</v>
      </c>
      <c r="E429" s="110">
        <v>42649</v>
      </c>
      <c r="F429" s="109" t="s">
        <v>494</v>
      </c>
      <c r="G429" s="296" t="s">
        <v>434</v>
      </c>
      <c r="H429" s="112" t="s">
        <v>523</v>
      </c>
      <c r="I429" s="133"/>
      <c r="J429" s="133"/>
      <c r="K429" s="13">
        <v>800000</v>
      </c>
      <c r="L429" s="113" t="s">
        <v>251</v>
      </c>
      <c r="M429" s="402" t="s">
        <v>350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63"/>
    </row>
    <row r="430" spans="1:26" ht="15.75" hidden="1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458</v>
      </c>
      <c r="E430" s="110">
        <v>42652</v>
      </c>
      <c r="F430" s="109" t="s">
        <v>775</v>
      </c>
      <c r="G430" s="298" t="s">
        <v>777</v>
      </c>
      <c r="H430" s="112" t="s">
        <v>778</v>
      </c>
      <c r="I430" s="133">
        <v>13490</v>
      </c>
      <c r="J430" s="133">
        <v>750</v>
      </c>
      <c r="K430" s="13">
        <f>ROUND(I430*J430,0)</f>
        <v>10117500</v>
      </c>
      <c r="L430" s="113" t="s">
        <v>155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63">
        <v>4</v>
      </c>
    </row>
    <row r="431" spans="1:26" ht="15.75" hidden="1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458</v>
      </c>
      <c r="E431" s="110">
        <v>42652</v>
      </c>
      <c r="F431" s="109" t="s">
        <v>776</v>
      </c>
      <c r="G431" s="298" t="s">
        <v>777</v>
      </c>
      <c r="H431" s="112" t="s">
        <v>778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6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456</v>
      </c>
      <c r="E432" s="110">
        <v>42652</v>
      </c>
      <c r="F432" s="109" t="s">
        <v>463</v>
      </c>
      <c r="G432" s="298" t="s">
        <v>777</v>
      </c>
      <c r="H432" s="112" t="s">
        <v>778</v>
      </c>
      <c r="I432" s="133"/>
      <c r="J432" s="133"/>
      <c r="K432" s="13">
        <v>11129250</v>
      </c>
      <c r="L432" s="113" t="s">
        <v>8</v>
      </c>
      <c r="M432" s="402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63"/>
    </row>
    <row r="433" spans="1:26" ht="15.75" hidden="1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467</v>
      </c>
      <c r="E433" s="110">
        <v>42657</v>
      </c>
      <c r="F433" s="109" t="s">
        <v>482</v>
      </c>
      <c r="G433" s="111" t="s">
        <v>472</v>
      </c>
      <c r="H433" s="4" t="s">
        <v>369</v>
      </c>
      <c r="I433" s="133"/>
      <c r="J433" s="135"/>
      <c r="K433" s="13">
        <v>43410950</v>
      </c>
      <c r="L433" s="113" t="s">
        <v>24</v>
      </c>
      <c r="M433" s="402" t="s">
        <v>251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63"/>
    </row>
    <row r="434" spans="1:26" ht="15.75" hidden="1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459</v>
      </c>
      <c r="E434" s="110">
        <v>42657</v>
      </c>
      <c r="F434" s="109" t="s">
        <v>775</v>
      </c>
      <c r="G434" s="298" t="s">
        <v>779</v>
      </c>
      <c r="H434" s="112" t="s">
        <v>778</v>
      </c>
      <c r="I434" s="133">
        <v>16010</v>
      </c>
      <c r="J434" s="133">
        <v>800</v>
      </c>
      <c r="K434" s="13">
        <f>ROUND(I434*J434,0)</f>
        <v>12808000</v>
      </c>
      <c r="L434" s="113" t="s">
        <v>155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63">
        <v>4</v>
      </c>
    </row>
    <row r="435" spans="1:26" ht="15.75" hidden="1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459</v>
      </c>
      <c r="E435" s="110">
        <v>42657</v>
      </c>
      <c r="F435" s="109" t="s">
        <v>776</v>
      </c>
      <c r="G435" s="298" t="s">
        <v>779</v>
      </c>
      <c r="H435" s="112" t="s">
        <v>778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6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457</v>
      </c>
      <c r="E436" s="110">
        <v>42657</v>
      </c>
      <c r="F436" s="109" t="s">
        <v>463</v>
      </c>
      <c r="G436" s="298" t="s">
        <v>779</v>
      </c>
      <c r="H436" s="112" t="s">
        <v>778</v>
      </c>
      <c r="I436" s="133"/>
      <c r="J436" s="133"/>
      <c r="K436" s="13">
        <v>14088800</v>
      </c>
      <c r="L436" s="113" t="s">
        <v>8</v>
      </c>
      <c r="M436" s="402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63"/>
    </row>
    <row r="437" spans="1:26" ht="15.75" hidden="1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323</v>
      </c>
      <c r="E437" s="110">
        <v>42658</v>
      </c>
      <c r="F437" s="109" t="s">
        <v>773</v>
      </c>
      <c r="G437" s="298" t="s">
        <v>774</v>
      </c>
      <c r="H437" s="112" t="s">
        <v>622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63">
        <v>4</v>
      </c>
    </row>
    <row r="438" spans="1:26" ht="15.75" hidden="1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323</v>
      </c>
      <c r="E438" s="110">
        <v>42658</v>
      </c>
      <c r="F438" s="109" t="s">
        <v>433</v>
      </c>
      <c r="G438" s="298" t="s">
        <v>774</v>
      </c>
      <c r="H438" s="112" t="s">
        <v>622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6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468</v>
      </c>
      <c r="E439" s="110">
        <v>42660</v>
      </c>
      <c r="F439" s="111" t="s">
        <v>477</v>
      </c>
      <c r="G439" s="111" t="s">
        <v>472</v>
      </c>
      <c r="H439" s="112" t="s">
        <v>622</v>
      </c>
      <c r="I439" s="133"/>
      <c r="J439" s="133"/>
      <c r="K439" s="13">
        <v>40700000</v>
      </c>
      <c r="L439" s="113" t="s">
        <v>8</v>
      </c>
      <c r="M439" s="402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63"/>
    </row>
    <row r="440" spans="1:26" ht="15.75" hidden="1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400</v>
      </c>
      <c r="E440" s="110">
        <v>42660</v>
      </c>
      <c r="F440" s="109" t="s">
        <v>781</v>
      </c>
      <c r="G440" s="298" t="s">
        <v>786</v>
      </c>
      <c r="H440" s="4" t="s">
        <v>396</v>
      </c>
      <c r="I440" s="133">
        <v>8032</v>
      </c>
      <c r="J440" s="133">
        <v>7800</v>
      </c>
      <c r="K440" s="13">
        <f>ROUND(I440*J440,0)</f>
        <v>62649600</v>
      </c>
      <c r="L440" s="113" t="s">
        <v>153</v>
      </c>
      <c r="M440" s="402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63">
        <v>4</v>
      </c>
    </row>
    <row r="441" spans="1:26" ht="15.75" hidden="1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400</v>
      </c>
      <c r="E441" s="110">
        <v>42660</v>
      </c>
      <c r="F441" s="109" t="s">
        <v>374</v>
      </c>
      <c r="G441" s="298" t="s">
        <v>786</v>
      </c>
      <c r="H441" s="4" t="s">
        <v>396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63">
        <v>4</v>
      </c>
    </row>
    <row r="442" spans="1:26" ht="15.75" hidden="1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401</v>
      </c>
      <c r="E442" s="110">
        <v>42660</v>
      </c>
      <c r="F442" s="109" t="s">
        <v>781</v>
      </c>
      <c r="G442" s="298" t="s">
        <v>788</v>
      </c>
      <c r="H442" s="4" t="s">
        <v>396</v>
      </c>
      <c r="I442" s="133">
        <v>7448</v>
      </c>
      <c r="J442" s="133">
        <v>8200</v>
      </c>
      <c r="K442" s="13">
        <f>ROUND(I442*J442,0)</f>
        <v>61073600</v>
      </c>
      <c r="L442" s="113" t="s">
        <v>153</v>
      </c>
      <c r="M442" s="402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63">
        <v>4</v>
      </c>
    </row>
    <row r="443" spans="1:26" ht="15.75" hidden="1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401</v>
      </c>
      <c r="E443" s="110">
        <v>42660</v>
      </c>
      <c r="F443" s="109" t="s">
        <v>374</v>
      </c>
      <c r="G443" s="298" t="s">
        <v>788</v>
      </c>
      <c r="H443" s="4" t="s">
        <v>396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63">
        <v>4</v>
      </c>
    </row>
    <row r="444" spans="1:26" ht="15.75" hidden="1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402</v>
      </c>
      <c r="E444" s="110">
        <v>42660</v>
      </c>
      <c r="F444" s="109" t="s">
        <v>781</v>
      </c>
      <c r="G444" s="298" t="s">
        <v>787</v>
      </c>
      <c r="H444" s="4" t="s">
        <v>396</v>
      </c>
      <c r="I444" s="133">
        <v>2161</v>
      </c>
      <c r="J444" s="133">
        <v>8200</v>
      </c>
      <c r="K444" s="13">
        <f>ROUND(I444*J444,0)</f>
        <v>17720200</v>
      </c>
      <c r="L444" s="113" t="s">
        <v>153</v>
      </c>
      <c r="M444" s="402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63">
        <v>4</v>
      </c>
    </row>
    <row r="445" spans="1:26" ht="15.75" hidden="1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402</v>
      </c>
      <c r="E445" s="110">
        <v>42660</v>
      </c>
      <c r="F445" s="109" t="s">
        <v>374</v>
      </c>
      <c r="G445" s="298" t="s">
        <v>787</v>
      </c>
      <c r="H445" s="4" t="s">
        <v>396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63">
        <v>4</v>
      </c>
    </row>
    <row r="446" spans="1:26" ht="15.75" hidden="1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453</v>
      </c>
      <c r="E446" s="110">
        <v>42660</v>
      </c>
      <c r="F446" s="109" t="s">
        <v>781</v>
      </c>
      <c r="G446" s="298" t="s">
        <v>1074</v>
      </c>
      <c r="H446" s="4" t="s">
        <v>396</v>
      </c>
      <c r="I446" s="133">
        <v>9042</v>
      </c>
      <c r="J446" s="133">
        <v>7800</v>
      </c>
      <c r="K446" s="13">
        <f>ROUND(I446*J446,0)</f>
        <v>70527600</v>
      </c>
      <c r="L446" s="113" t="s">
        <v>153</v>
      </c>
      <c r="M446" s="402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63">
        <v>4</v>
      </c>
    </row>
    <row r="447" spans="1:26" ht="15.75" hidden="1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453</v>
      </c>
      <c r="E447" s="110">
        <v>42660</v>
      </c>
      <c r="F447" s="109" t="s">
        <v>374</v>
      </c>
      <c r="G447" s="298" t="s">
        <v>1074</v>
      </c>
      <c r="H447" s="4" t="s">
        <v>396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63">
        <v>4</v>
      </c>
    </row>
    <row r="448" spans="1:26" ht="15.75" hidden="1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555</v>
      </c>
      <c r="E448" s="110">
        <v>42660</v>
      </c>
      <c r="F448" s="109" t="s">
        <v>672</v>
      </c>
      <c r="G448" s="296" t="s">
        <v>759</v>
      </c>
      <c r="H448" s="4" t="s">
        <v>369</v>
      </c>
      <c r="I448" s="133">
        <v>1800</v>
      </c>
      <c r="J448" s="133">
        <v>9100</v>
      </c>
      <c r="K448" s="13">
        <f>ROUND(I448*J448,0)</f>
        <v>16380000</v>
      </c>
      <c r="L448" s="113" t="s">
        <v>251</v>
      </c>
      <c r="M448" s="402" t="s">
        <v>168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63"/>
    </row>
    <row r="449" spans="1:26" ht="15.75" hidden="1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555</v>
      </c>
      <c r="E449" s="110">
        <v>42660</v>
      </c>
      <c r="F449" s="109" t="s">
        <v>671</v>
      </c>
      <c r="G449" s="296" t="s">
        <v>759</v>
      </c>
      <c r="H449" s="4" t="s">
        <v>369</v>
      </c>
      <c r="I449" s="133">
        <v>26</v>
      </c>
      <c r="J449" s="133">
        <v>13000</v>
      </c>
      <c r="K449" s="13">
        <f>ROUND(I449*J449,0)</f>
        <v>338000</v>
      </c>
      <c r="L449" s="113" t="s">
        <v>251</v>
      </c>
      <c r="M449" s="402" t="s">
        <v>168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63"/>
    </row>
    <row r="450" spans="1:26" ht="15.75" hidden="1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555</v>
      </c>
      <c r="E450" s="110">
        <v>42660</v>
      </c>
      <c r="F450" s="109" t="s">
        <v>494</v>
      </c>
      <c r="G450" s="296" t="s">
        <v>759</v>
      </c>
      <c r="H450" s="4" t="s">
        <v>369</v>
      </c>
      <c r="I450" s="134"/>
      <c r="J450" s="133"/>
      <c r="K450" s="13">
        <v>1671800</v>
      </c>
      <c r="L450" s="113" t="s">
        <v>251</v>
      </c>
      <c r="M450" s="402" t="s">
        <v>350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63"/>
    </row>
    <row r="451" spans="1:26" ht="15.75" hidden="1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641</v>
      </c>
      <c r="E451" s="110">
        <v>42661</v>
      </c>
      <c r="F451" s="111" t="s">
        <v>483</v>
      </c>
      <c r="G451" s="111" t="s">
        <v>472</v>
      </c>
      <c r="H451" s="112" t="s">
        <v>486</v>
      </c>
      <c r="I451" s="133"/>
      <c r="J451" s="133"/>
      <c r="K451" s="13">
        <v>3000000</v>
      </c>
      <c r="L451" s="113" t="s">
        <v>46</v>
      </c>
      <c r="M451" s="402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63"/>
    </row>
    <row r="452" spans="1:26" ht="15.75" hidden="1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467</v>
      </c>
      <c r="E452" s="110">
        <v>42662</v>
      </c>
      <c r="F452" s="109" t="s">
        <v>482</v>
      </c>
      <c r="G452" s="111" t="s">
        <v>472</v>
      </c>
      <c r="H452" s="112" t="s">
        <v>542</v>
      </c>
      <c r="I452" s="133"/>
      <c r="J452" s="135"/>
      <c r="K452" s="13">
        <v>104148000</v>
      </c>
      <c r="L452" s="113" t="s">
        <v>24</v>
      </c>
      <c r="M452" s="402" t="s">
        <v>251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63"/>
    </row>
    <row r="453" spans="1:26" ht="15.75" hidden="1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454</v>
      </c>
      <c r="E453" s="110">
        <v>42662</v>
      </c>
      <c r="F453" s="109" t="s">
        <v>781</v>
      </c>
      <c r="G453" s="298" t="s">
        <v>780</v>
      </c>
      <c r="H453" s="4" t="s">
        <v>396</v>
      </c>
      <c r="I453" s="133">
        <v>6632</v>
      </c>
      <c r="J453" s="133">
        <v>8200</v>
      </c>
      <c r="K453" s="13">
        <f>ROUND(I453*J453,0)</f>
        <v>54382400</v>
      </c>
      <c r="L453" s="113" t="s">
        <v>153</v>
      </c>
      <c r="M453" s="402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63">
        <v>4</v>
      </c>
    </row>
    <row r="454" spans="1:26" ht="15.75" hidden="1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454</v>
      </c>
      <c r="E454" s="110">
        <v>42662</v>
      </c>
      <c r="F454" s="109" t="s">
        <v>374</v>
      </c>
      <c r="G454" s="298" t="s">
        <v>780</v>
      </c>
      <c r="H454" s="4" t="s">
        <v>396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63">
        <v>4</v>
      </c>
    </row>
    <row r="455" spans="1:26" ht="15.75" hidden="1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556</v>
      </c>
      <c r="E455" s="110">
        <v>42662</v>
      </c>
      <c r="F455" s="109" t="s">
        <v>665</v>
      </c>
      <c r="G455" s="296" t="s">
        <v>760</v>
      </c>
      <c r="H455" s="112" t="s">
        <v>523</v>
      </c>
      <c r="I455" s="134">
        <v>520</v>
      </c>
      <c r="J455" s="134">
        <v>3311</v>
      </c>
      <c r="K455" s="13">
        <f>ROUND(I455*J455,0)</f>
        <v>1721720</v>
      </c>
      <c r="L455" s="113" t="s">
        <v>251</v>
      </c>
      <c r="M455" s="402" t="s">
        <v>168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63"/>
    </row>
    <row r="456" spans="1:26" ht="15.75" hidden="1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556</v>
      </c>
      <c r="E456" s="110">
        <v>42662</v>
      </c>
      <c r="F456" s="109" t="s">
        <v>524</v>
      </c>
      <c r="G456" s="296" t="s">
        <v>760</v>
      </c>
      <c r="H456" s="112" t="s">
        <v>523</v>
      </c>
      <c r="I456" s="134">
        <v>100</v>
      </c>
      <c r="J456" s="134">
        <v>20000</v>
      </c>
      <c r="K456" s="13">
        <f>ROUND(I456*J456,0)</f>
        <v>2000000</v>
      </c>
      <c r="L456" s="113" t="s">
        <v>251</v>
      </c>
      <c r="M456" s="402" t="s">
        <v>168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63"/>
    </row>
    <row r="457" spans="1:26" ht="15.75" hidden="1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556</v>
      </c>
      <c r="E457" s="110">
        <v>42662</v>
      </c>
      <c r="F457" s="109" t="s">
        <v>494</v>
      </c>
      <c r="G457" s="296" t="s">
        <v>760</v>
      </c>
      <c r="H457" s="112" t="s">
        <v>523</v>
      </c>
      <c r="I457" s="134"/>
      <c r="J457" s="134"/>
      <c r="K457" s="13">
        <v>372172</v>
      </c>
      <c r="L457" s="113" t="s">
        <v>251</v>
      </c>
      <c r="M457" s="402" t="s">
        <v>350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63"/>
    </row>
    <row r="458" spans="1:26" ht="15.75" hidden="1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987</v>
      </c>
      <c r="E458" s="110">
        <v>42662</v>
      </c>
      <c r="F458" s="111" t="s">
        <v>482</v>
      </c>
      <c r="G458" s="296" t="s">
        <v>1026</v>
      </c>
      <c r="H458" s="112" t="s">
        <v>523</v>
      </c>
      <c r="I458" s="134"/>
      <c r="J458" s="134"/>
      <c r="K458" s="13">
        <f>4093892+8800000</f>
        <v>12893892</v>
      </c>
      <c r="L458" s="113" t="s">
        <v>46</v>
      </c>
      <c r="M458" s="402" t="s">
        <v>251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63"/>
    </row>
    <row r="459" spans="1:26" ht="15.75" hidden="1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988</v>
      </c>
      <c r="E459" s="110">
        <v>42663</v>
      </c>
      <c r="F459" s="111" t="s">
        <v>483</v>
      </c>
      <c r="G459" s="111" t="s">
        <v>472</v>
      </c>
      <c r="H459" s="112" t="s">
        <v>486</v>
      </c>
      <c r="I459" s="133"/>
      <c r="J459" s="133"/>
      <c r="K459" s="13">
        <v>104000000</v>
      </c>
      <c r="L459" s="113" t="s">
        <v>46</v>
      </c>
      <c r="M459" s="402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6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460</v>
      </c>
      <c r="E460" s="110">
        <v>42663</v>
      </c>
      <c r="F460" s="109" t="s">
        <v>789</v>
      </c>
      <c r="G460" s="298" t="s">
        <v>791</v>
      </c>
      <c r="H460" s="112" t="s">
        <v>792</v>
      </c>
      <c r="I460" s="133"/>
      <c r="J460" s="133"/>
      <c r="K460" s="13">
        <v>934000</v>
      </c>
      <c r="L460" s="113" t="s">
        <v>82</v>
      </c>
      <c r="M460" s="402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6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460</v>
      </c>
      <c r="E461" s="110">
        <v>42663</v>
      </c>
      <c r="F461" s="109" t="s">
        <v>790</v>
      </c>
      <c r="G461" s="298" t="s">
        <v>791</v>
      </c>
      <c r="H461" s="112" t="s">
        <v>792</v>
      </c>
      <c r="I461" s="133"/>
      <c r="J461" s="133"/>
      <c r="K461" s="13">
        <v>93400</v>
      </c>
      <c r="L461" s="113" t="s">
        <v>9</v>
      </c>
      <c r="M461" s="402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63">
        <v>4</v>
      </c>
    </row>
    <row r="462" spans="1:26" ht="15.75" hidden="1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461</v>
      </c>
      <c r="E462" s="110">
        <v>42665</v>
      </c>
      <c r="F462" s="109" t="s">
        <v>775</v>
      </c>
      <c r="G462" s="298" t="s">
        <v>793</v>
      </c>
      <c r="H462" s="112" t="s">
        <v>778</v>
      </c>
      <c r="I462" s="133">
        <v>13030</v>
      </c>
      <c r="J462" s="133">
        <v>800</v>
      </c>
      <c r="K462" s="13">
        <f>ROUND(I462*J462,0)</f>
        <v>10424000</v>
      </c>
      <c r="L462" s="113" t="s">
        <v>155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63">
        <v>4</v>
      </c>
    </row>
    <row r="463" spans="1:26" ht="15.75" hidden="1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461</v>
      </c>
      <c r="E463" s="110">
        <v>42665</v>
      </c>
      <c r="F463" s="109" t="s">
        <v>776</v>
      </c>
      <c r="G463" s="298" t="s">
        <v>793</v>
      </c>
      <c r="H463" s="112" t="s">
        <v>778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6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638</v>
      </c>
      <c r="E464" s="110">
        <v>42665</v>
      </c>
      <c r="F464" s="109" t="s">
        <v>463</v>
      </c>
      <c r="G464" s="298" t="s">
        <v>793</v>
      </c>
      <c r="H464" s="112" t="s">
        <v>778</v>
      </c>
      <c r="I464" s="133"/>
      <c r="J464" s="133"/>
      <c r="K464" s="13">
        <v>11466400</v>
      </c>
      <c r="L464" s="113" t="s">
        <v>8</v>
      </c>
      <c r="M464" s="402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63"/>
    </row>
    <row r="465" spans="1:26" ht="15.75" hidden="1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467</v>
      </c>
      <c r="E465" s="110">
        <v>42667</v>
      </c>
      <c r="F465" s="109" t="s">
        <v>482</v>
      </c>
      <c r="G465" s="111" t="s">
        <v>472</v>
      </c>
      <c r="H465" s="4" t="s">
        <v>621</v>
      </c>
      <c r="I465" s="133"/>
      <c r="J465" s="135"/>
      <c r="K465" s="13">
        <v>3548160</v>
      </c>
      <c r="L465" s="113" t="s">
        <v>24</v>
      </c>
      <c r="M465" s="402" t="s">
        <v>251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63"/>
    </row>
    <row r="466" spans="1:26" ht="15.75" hidden="1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467</v>
      </c>
      <c r="E466" s="110">
        <v>42668</v>
      </c>
      <c r="F466" s="109" t="s">
        <v>474</v>
      </c>
      <c r="G466" s="111" t="s">
        <v>472</v>
      </c>
      <c r="H466" s="112"/>
      <c r="I466" s="133"/>
      <c r="J466" s="135"/>
      <c r="K466" s="13">
        <v>4672</v>
      </c>
      <c r="L466" s="113" t="s">
        <v>24</v>
      </c>
      <c r="M466" s="402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63"/>
    </row>
    <row r="467" spans="1:26" ht="15.75" hidden="1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989</v>
      </c>
      <c r="E467" s="110">
        <v>42668</v>
      </c>
      <c r="F467" s="111" t="s">
        <v>483</v>
      </c>
      <c r="G467" s="111" t="s">
        <v>472</v>
      </c>
      <c r="H467" s="125" t="s">
        <v>473</v>
      </c>
      <c r="I467" s="133"/>
      <c r="J467" s="133"/>
      <c r="K467" s="13">
        <v>3500000</v>
      </c>
      <c r="L467" s="113" t="s">
        <v>46</v>
      </c>
      <c r="M467" s="402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6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468</v>
      </c>
      <c r="E468" s="110">
        <v>42668</v>
      </c>
      <c r="F468" s="111" t="s">
        <v>475</v>
      </c>
      <c r="G468" s="111" t="s">
        <v>472</v>
      </c>
      <c r="H468" s="112"/>
      <c r="I468" s="133"/>
      <c r="J468" s="133"/>
      <c r="K468" s="13">
        <v>10000</v>
      </c>
      <c r="L468" s="113" t="s">
        <v>82</v>
      </c>
      <c r="M468" s="402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6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468</v>
      </c>
      <c r="E469" s="110">
        <v>42668</v>
      </c>
      <c r="F469" s="111" t="s">
        <v>476</v>
      </c>
      <c r="G469" s="111" t="s">
        <v>472</v>
      </c>
      <c r="H469" s="112"/>
      <c r="I469" s="133"/>
      <c r="J469" s="133"/>
      <c r="K469" s="13">
        <v>1000</v>
      </c>
      <c r="L469" s="113" t="s">
        <v>9</v>
      </c>
      <c r="M469" s="402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63">
        <v>4</v>
      </c>
    </row>
    <row r="470" spans="1:26" ht="15.75" hidden="1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557</v>
      </c>
      <c r="E470" s="110">
        <v>42672</v>
      </c>
      <c r="F470" s="109" t="s">
        <v>666</v>
      </c>
      <c r="G470" s="296" t="s">
        <v>761</v>
      </c>
      <c r="H470" s="4" t="s">
        <v>369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251</v>
      </c>
      <c r="M470" s="402" t="s">
        <v>168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63"/>
    </row>
    <row r="471" spans="1:26" ht="15.75" hidden="1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557</v>
      </c>
      <c r="E471" s="110">
        <v>42672</v>
      </c>
      <c r="F471" s="109" t="s">
        <v>653</v>
      </c>
      <c r="G471" s="296" t="s">
        <v>761</v>
      </c>
      <c r="H471" s="4" t="s">
        <v>369</v>
      </c>
      <c r="I471" s="134">
        <v>110</v>
      </c>
      <c r="J471" s="134">
        <v>17500</v>
      </c>
      <c r="K471" s="13">
        <f>ROUND(I471*J471,0)</f>
        <v>1925000</v>
      </c>
      <c r="L471" s="113" t="s">
        <v>251</v>
      </c>
      <c r="M471" s="402" t="s">
        <v>168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63"/>
    </row>
    <row r="472" spans="1:26" ht="15.75" hidden="1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557</v>
      </c>
      <c r="E472" s="110">
        <v>42672</v>
      </c>
      <c r="F472" s="109" t="s">
        <v>667</v>
      </c>
      <c r="G472" s="296" t="s">
        <v>761</v>
      </c>
      <c r="H472" s="4" t="s">
        <v>369</v>
      </c>
      <c r="I472" s="134">
        <v>111</v>
      </c>
      <c r="J472" s="134">
        <v>11700</v>
      </c>
      <c r="K472" s="13">
        <f>ROUND(I472*J472,0)</f>
        <v>1298700</v>
      </c>
      <c r="L472" s="113" t="s">
        <v>251</v>
      </c>
      <c r="M472" s="402" t="s">
        <v>168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63"/>
    </row>
    <row r="473" spans="1:26" ht="15.75" hidden="1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557</v>
      </c>
      <c r="E473" s="110">
        <v>42672</v>
      </c>
      <c r="F473" s="109" t="s">
        <v>668</v>
      </c>
      <c r="G473" s="296" t="s">
        <v>761</v>
      </c>
      <c r="H473" s="4" t="s">
        <v>369</v>
      </c>
      <c r="I473" s="134">
        <v>18</v>
      </c>
      <c r="J473" s="134">
        <v>18000</v>
      </c>
      <c r="K473" s="13">
        <f>ROUND(I473*J473,0)</f>
        <v>324000</v>
      </c>
      <c r="L473" s="113" t="s">
        <v>251</v>
      </c>
      <c r="M473" s="402" t="s">
        <v>168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63"/>
    </row>
    <row r="474" spans="1:26" ht="15.75" hidden="1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557</v>
      </c>
      <c r="E474" s="110">
        <v>42672</v>
      </c>
      <c r="F474" s="109" t="s">
        <v>498</v>
      </c>
      <c r="G474" s="296" t="s">
        <v>761</v>
      </c>
      <c r="H474" s="4" t="s">
        <v>369</v>
      </c>
      <c r="I474" s="134">
        <v>52</v>
      </c>
      <c r="J474" s="134">
        <v>9800</v>
      </c>
      <c r="K474" s="13">
        <f>ROUND(I474*J474,0)</f>
        <v>509600</v>
      </c>
      <c r="L474" s="113" t="s">
        <v>251</v>
      </c>
      <c r="M474" s="402" t="s">
        <v>168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63"/>
    </row>
    <row r="475" spans="1:26" ht="15.75" hidden="1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557</v>
      </c>
      <c r="E475" s="110">
        <v>42672</v>
      </c>
      <c r="F475" s="109" t="s">
        <v>494</v>
      </c>
      <c r="G475" s="296" t="s">
        <v>761</v>
      </c>
      <c r="H475" s="4" t="s">
        <v>369</v>
      </c>
      <c r="I475" s="134"/>
      <c r="J475" s="134"/>
      <c r="K475" s="13">
        <v>461170</v>
      </c>
      <c r="L475" s="113" t="s">
        <v>251</v>
      </c>
      <c r="M475" s="402" t="s">
        <v>350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63"/>
    </row>
    <row r="476" spans="1:26" ht="15.75" hidden="1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558</v>
      </c>
      <c r="E476" s="110">
        <v>42672</v>
      </c>
      <c r="F476" s="109" t="s">
        <v>498</v>
      </c>
      <c r="G476" s="296" t="s">
        <v>762</v>
      </c>
      <c r="H476" s="4" t="s">
        <v>369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251</v>
      </c>
      <c r="M476" s="402" t="s">
        <v>168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63"/>
    </row>
    <row r="477" spans="1:26" ht="15.75" hidden="1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558</v>
      </c>
      <c r="E477" s="110">
        <v>42672</v>
      </c>
      <c r="F477" s="109" t="s">
        <v>669</v>
      </c>
      <c r="G477" s="296" t="s">
        <v>762</v>
      </c>
      <c r="H477" s="4" t="s">
        <v>369</v>
      </c>
      <c r="I477" s="133">
        <v>330</v>
      </c>
      <c r="J477" s="133">
        <v>7000</v>
      </c>
      <c r="K477" s="13">
        <f>ROUND(I477*J477,0)</f>
        <v>2310000</v>
      </c>
      <c r="L477" s="113" t="s">
        <v>251</v>
      </c>
      <c r="M477" s="402" t="s">
        <v>168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63"/>
    </row>
    <row r="478" spans="1:26" ht="15.75" hidden="1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558</v>
      </c>
      <c r="E478" s="110">
        <v>42672</v>
      </c>
      <c r="F478" s="109" t="s">
        <v>670</v>
      </c>
      <c r="G478" s="296" t="s">
        <v>762</v>
      </c>
      <c r="H478" s="4" t="s">
        <v>369</v>
      </c>
      <c r="I478" s="133">
        <v>23</v>
      </c>
      <c r="J478" s="133">
        <v>8700</v>
      </c>
      <c r="K478" s="13">
        <f>ROUND(I478*J478,0)</f>
        <v>200100</v>
      </c>
      <c r="L478" s="113" t="s">
        <v>251</v>
      </c>
      <c r="M478" s="402" t="s">
        <v>168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63"/>
    </row>
    <row r="479" spans="1:26" ht="15.75" hidden="1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558</v>
      </c>
      <c r="E479" s="110">
        <v>42672</v>
      </c>
      <c r="F479" s="109" t="s">
        <v>671</v>
      </c>
      <c r="G479" s="296" t="s">
        <v>762</v>
      </c>
      <c r="H479" s="4" t="s">
        <v>369</v>
      </c>
      <c r="I479" s="133">
        <v>55</v>
      </c>
      <c r="J479" s="133">
        <v>12300</v>
      </c>
      <c r="K479" s="13">
        <f>ROUND(I479*J479,0)</f>
        <v>676500</v>
      </c>
      <c r="L479" s="113" t="s">
        <v>251</v>
      </c>
      <c r="M479" s="402" t="s">
        <v>168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63"/>
    </row>
    <row r="480" spans="1:26" ht="15.75" hidden="1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558</v>
      </c>
      <c r="E480" s="110">
        <v>42672</v>
      </c>
      <c r="F480" s="109" t="s">
        <v>494</v>
      </c>
      <c r="G480" s="296" t="s">
        <v>762</v>
      </c>
      <c r="H480" s="4" t="s">
        <v>369</v>
      </c>
      <c r="I480" s="133"/>
      <c r="J480" s="133"/>
      <c r="K480" s="13">
        <v>520540</v>
      </c>
      <c r="L480" s="113" t="s">
        <v>251</v>
      </c>
      <c r="M480" s="402" t="s">
        <v>350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63"/>
    </row>
    <row r="481" spans="1:26" ht="15.75" hidden="1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559</v>
      </c>
      <c r="E481" s="110">
        <v>42672</v>
      </c>
      <c r="F481" s="109" t="s">
        <v>672</v>
      </c>
      <c r="G481" s="296" t="s">
        <v>763</v>
      </c>
      <c r="H481" s="4" t="s">
        <v>369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251</v>
      </c>
      <c r="M481" s="402" t="s">
        <v>168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63"/>
    </row>
    <row r="482" spans="1:26" ht="15.75" hidden="1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559</v>
      </c>
      <c r="E482" s="110">
        <v>42672</v>
      </c>
      <c r="F482" s="109" t="s">
        <v>673</v>
      </c>
      <c r="G482" s="296" t="s">
        <v>763</v>
      </c>
      <c r="H482" s="4" t="s">
        <v>369</v>
      </c>
      <c r="I482" s="133">
        <v>160</v>
      </c>
      <c r="J482" s="133">
        <v>19700</v>
      </c>
      <c r="K482" s="13">
        <f t="shared" si="19"/>
        <v>3152000</v>
      </c>
      <c r="L482" s="113" t="s">
        <v>251</v>
      </c>
      <c r="M482" s="402" t="s">
        <v>168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63"/>
    </row>
    <row r="483" spans="1:26" ht="15.75" hidden="1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559</v>
      </c>
      <c r="E483" s="110">
        <v>42672</v>
      </c>
      <c r="F483" s="109" t="s">
        <v>498</v>
      </c>
      <c r="G483" s="296" t="s">
        <v>763</v>
      </c>
      <c r="H483" s="4" t="s">
        <v>369</v>
      </c>
      <c r="I483" s="133">
        <v>160</v>
      </c>
      <c r="J483" s="133">
        <v>9800</v>
      </c>
      <c r="K483" s="13">
        <f t="shared" si="19"/>
        <v>1568000</v>
      </c>
      <c r="L483" s="113" t="s">
        <v>251</v>
      </c>
      <c r="M483" s="402" t="s">
        <v>168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63"/>
    </row>
    <row r="484" spans="1:26" ht="15.75" hidden="1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559</v>
      </c>
      <c r="E484" s="110">
        <v>42672</v>
      </c>
      <c r="F484" s="109" t="s">
        <v>674</v>
      </c>
      <c r="G484" s="296" t="s">
        <v>763</v>
      </c>
      <c r="H484" s="4" t="s">
        <v>369</v>
      </c>
      <c r="I484" s="133">
        <v>160</v>
      </c>
      <c r="J484" s="133">
        <v>8200</v>
      </c>
      <c r="K484" s="13">
        <f t="shared" si="19"/>
        <v>1312000</v>
      </c>
      <c r="L484" s="113" t="s">
        <v>251</v>
      </c>
      <c r="M484" s="402" t="s">
        <v>168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63"/>
    </row>
    <row r="485" spans="1:26" ht="15.75" hidden="1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559</v>
      </c>
      <c r="E485" s="110">
        <v>42672</v>
      </c>
      <c r="F485" s="109" t="s">
        <v>675</v>
      </c>
      <c r="G485" s="296" t="s">
        <v>763</v>
      </c>
      <c r="H485" s="4" t="s">
        <v>369</v>
      </c>
      <c r="I485" s="133">
        <v>103</v>
      </c>
      <c r="J485" s="133">
        <v>9500</v>
      </c>
      <c r="K485" s="13">
        <f t="shared" si="19"/>
        <v>978500</v>
      </c>
      <c r="L485" s="113" t="s">
        <v>251</v>
      </c>
      <c r="M485" s="402" t="s">
        <v>168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63"/>
    </row>
    <row r="486" spans="1:26" ht="15.75" hidden="1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559</v>
      </c>
      <c r="E486" s="110">
        <v>42672</v>
      </c>
      <c r="F486" s="109" t="s">
        <v>676</v>
      </c>
      <c r="G486" s="296" t="s">
        <v>763</v>
      </c>
      <c r="H486" s="4" t="s">
        <v>369</v>
      </c>
      <c r="I486" s="133">
        <v>7</v>
      </c>
      <c r="J486" s="133">
        <v>15400</v>
      </c>
      <c r="K486" s="13">
        <f t="shared" si="19"/>
        <v>107800</v>
      </c>
      <c r="L486" s="113" t="s">
        <v>251</v>
      </c>
      <c r="M486" s="402" t="s">
        <v>168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63"/>
    </row>
    <row r="487" spans="1:26" ht="15.75" hidden="1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559</v>
      </c>
      <c r="E487" s="110">
        <v>42672</v>
      </c>
      <c r="F487" s="109" t="s">
        <v>677</v>
      </c>
      <c r="G487" s="296" t="s">
        <v>763</v>
      </c>
      <c r="H487" s="4" t="s">
        <v>369</v>
      </c>
      <c r="I487" s="133">
        <v>105</v>
      </c>
      <c r="J487" s="133">
        <v>8100</v>
      </c>
      <c r="K487" s="13">
        <f t="shared" si="19"/>
        <v>850500</v>
      </c>
      <c r="L487" s="113" t="s">
        <v>251</v>
      </c>
      <c r="M487" s="402" t="s">
        <v>168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63"/>
    </row>
    <row r="488" spans="1:26" ht="15.75" hidden="1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559</v>
      </c>
      <c r="E488" s="110">
        <v>42672</v>
      </c>
      <c r="F488" s="109" t="s">
        <v>678</v>
      </c>
      <c r="G488" s="296" t="s">
        <v>763</v>
      </c>
      <c r="H488" s="4" t="s">
        <v>369</v>
      </c>
      <c r="I488" s="133">
        <v>110</v>
      </c>
      <c r="J488" s="133">
        <v>6500</v>
      </c>
      <c r="K488" s="13">
        <f t="shared" si="19"/>
        <v>715000</v>
      </c>
      <c r="L488" s="113" t="s">
        <v>251</v>
      </c>
      <c r="M488" s="402" t="s">
        <v>168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63"/>
    </row>
    <row r="489" spans="1:26" ht="15.75" hidden="1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559</v>
      </c>
      <c r="E489" s="110">
        <v>42672</v>
      </c>
      <c r="F489" s="109" t="s">
        <v>494</v>
      </c>
      <c r="G489" s="296" t="s">
        <v>763</v>
      </c>
      <c r="H489" s="4" t="s">
        <v>369</v>
      </c>
      <c r="I489" s="133"/>
      <c r="J489" s="133"/>
      <c r="K489" s="13">
        <v>1061580</v>
      </c>
      <c r="L489" s="113" t="s">
        <v>251</v>
      </c>
      <c r="M489" s="402" t="s">
        <v>350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6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462</v>
      </c>
      <c r="E490" s="110">
        <v>42673</v>
      </c>
      <c r="F490" s="109" t="s">
        <v>624</v>
      </c>
      <c r="G490" s="296"/>
      <c r="H490" s="112" t="s">
        <v>486</v>
      </c>
      <c r="I490" s="133"/>
      <c r="J490" s="133"/>
      <c r="K490" s="13">
        <f>ROUND((21*15000+2*10000)/1.1,0)</f>
        <v>304545</v>
      </c>
      <c r="L490" s="113" t="s">
        <v>253</v>
      </c>
      <c r="M490" s="402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6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462</v>
      </c>
      <c r="E491" s="110">
        <v>42673</v>
      </c>
      <c r="F491" s="109" t="s">
        <v>625</v>
      </c>
      <c r="G491" s="296"/>
      <c r="H491" s="112" t="s">
        <v>486</v>
      </c>
      <c r="I491" s="133"/>
      <c r="J491" s="133"/>
      <c r="K491" s="13">
        <v>30455</v>
      </c>
      <c r="L491" s="113" t="s">
        <v>9</v>
      </c>
      <c r="M491" s="402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63">
        <v>4</v>
      </c>
    </row>
    <row r="492" spans="1:26" ht="15.75" hidden="1" customHeight="1">
      <c r="A492" s="120" t="str">
        <f>IF(B492&lt;&gt;"",IF(AND(B492&gt;=_TM1,B492&lt;=_TM2,OR(TH!L492="1111",TH!M492="1111")),TH!D492,""),"")</f>
        <v/>
      </c>
      <c r="B492" s="580">
        <f t="shared" si="17"/>
        <v>10</v>
      </c>
      <c r="C492" s="557">
        <f t="shared" si="18"/>
        <v>42674</v>
      </c>
      <c r="D492" s="557" t="s">
        <v>323</v>
      </c>
      <c r="E492" s="557">
        <v>42674</v>
      </c>
      <c r="F492" s="560" t="s">
        <v>819</v>
      </c>
      <c r="G492" s="576"/>
      <c r="H492" s="577"/>
      <c r="I492" s="559"/>
      <c r="J492" s="559"/>
      <c r="K492" s="562">
        <v>4390000</v>
      </c>
      <c r="L492" s="578" t="s">
        <v>82</v>
      </c>
      <c r="M492" s="578" t="s">
        <v>254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79"/>
    </row>
    <row r="493" spans="1:26" ht="15.75" hidden="1" customHeight="1">
      <c r="A493" s="120" t="str">
        <f>IF(B493&lt;&gt;"",IF(AND(B493&gt;=_TM1,B493&lt;=_TM2,OR(TH!L493="1111",TH!M493="1111")),TH!D493,""),"")</f>
        <v/>
      </c>
      <c r="B493" s="580">
        <f t="shared" si="17"/>
        <v>10</v>
      </c>
      <c r="C493" s="557">
        <f t="shared" si="18"/>
        <v>42674</v>
      </c>
      <c r="D493" s="557" t="s">
        <v>323</v>
      </c>
      <c r="E493" s="557">
        <v>42674</v>
      </c>
      <c r="F493" s="560" t="s">
        <v>820</v>
      </c>
      <c r="G493" s="576"/>
      <c r="H493" s="577"/>
      <c r="I493" s="559"/>
      <c r="J493" s="559"/>
      <c r="K493" s="562">
        <v>13960000</v>
      </c>
      <c r="L493" s="578" t="s">
        <v>159</v>
      </c>
      <c r="M493" s="578" t="s">
        <v>254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79"/>
    </row>
    <row r="494" spans="1:26" ht="15.75" hidden="1" customHeight="1">
      <c r="A494" s="120" t="str">
        <f>IF(B494&lt;&gt;"",IF(AND(B494&gt;=_TM1,B494&lt;=_TM2,OR(TH!L494="1111",TH!M494="1111")),TH!D494,""),"")</f>
        <v>C10</v>
      </c>
      <c r="B494" s="580">
        <f t="shared" si="17"/>
        <v>10</v>
      </c>
      <c r="C494" s="557">
        <f t="shared" si="18"/>
        <v>42674</v>
      </c>
      <c r="D494" s="557" t="s">
        <v>464</v>
      </c>
      <c r="E494" s="557">
        <v>42674</v>
      </c>
      <c r="F494" s="560" t="str">
        <f>"Thanh toán tiền lương tháng "&amp;MONTH(E494)&amp;"/"&amp;YEAR(E494)</f>
        <v>Thanh toán tiền lương tháng 10/2016</v>
      </c>
      <c r="G494" s="576"/>
      <c r="H494" s="577" t="s">
        <v>794</v>
      </c>
      <c r="I494" s="559"/>
      <c r="J494" s="559"/>
      <c r="K494" s="562">
        <f>K492+K493</f>
        <v>18350000</v>
      </c>
      <c r="L494" s="578" t="s">
        <v>254</v>
      </c>
      <c r="M494" s="57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79"/>
    </row>
    <row r="495" spans="1:26" ht="15.75" hidden="1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953</v>
      </c>
      <c r="E495" s="110">
        <v>42674</v>
      </c>
      <c r="F495" s="109" t="s">
        <v>877</v>
      </c>
      <c r="G495" s="298" t="s">
        <v>955</v>
      </c>
      <c r="H495" s="4" t="s">
        <v>879</v>
      </c>
      <c r="I495" s="133">
        <v>30200</v>
      </c>
      <c r="J495" s="133">
        <v>8400</v>
      </c>
      <c r="K495" s="13">
        <f>ROUND(I495*J495,0)</f>
        <v>253680000</v>
      </c>
      <c r="L495" s="113" t="s">
        <v>153</v>
      </c>
      <c r="M495" s="402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63">
        <v>4</v>
      </c>
    </row>
    <row r="496" spans="1:26" ht="15.75" hidden="1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953</v>
      </c>
      <c r="E496" s="110">
        <v>42674</v>
      </c>
      <c r="F496" s="109" t="s">
        <v>878</v>
      </c>
      <c r="G496" s="298" t="s">
        <v>955</v>
      </c>
      <c r="H496" s="4" t="s">
        <v>879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6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465</v>
      </c>
      <c r="E497" s="110">
        <v>42676</v>
      </c>
      <c r="F497" s="109" t="s">
        <v>771</v>
      </c>
      <c r="G497" s="298" t="s">
        <v>863</v>
      </c>
      <c r="H497" s="125" t="s">
        <v>695</v>
      </c>
      <c r="I497" s="133"/>
      <c r="J497" s="133"/>
      <c r="K497" s="13">
        <v>4912090</v>
      </c>
      <c r="L497" s="113" t="s">
        <v>253</v>
      </c>
      <c r="M497" s="402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6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465</v>
      </c>
      <c r="E498" s="110">
        <v>42676</v>
      </c>
      <c r="F498" s="109" t="s">
        <v>772</v>
      </c>
      <c r="G498" s="298" t="s">
        <v>863</v>
      </c>
      <c r="H498" s="125" t="s">
        <v>695</v>
      </c>
      <c r="I498" s="133"/>
      <c r="J498" s="133"/>
      <c r="K498" s="13">
        <v>491210</v>
      </c>
      <c r="L498" s="113" t="s">
        <v>9</v>
      </c>
      <c r="M498" s="402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63">
        <v>4</v>
      </c>
    </row>
    <row r="499" spans="1:26" ht="15.75" hidden="1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467</v>
      </c>
      <c r="E499" s="110">
        <v>42677</v>
      </c>
      <c r="F499" s="109" t="s">
        <v>482</v>
      </c>
      <c r="G499" s="111" t="s">
        <v>472</v>
      </c>
      <c r="H499" s="112" t="s">
        <v>681</v>
      </c>
      <c r="I499" s="133"/>
      <c r="J499" s="135"/>
      <c r="K499" s="13">
        <v>84216000</v>
      </c>
      <c r="L499" s="113" t="s">
        <v>24</v>
      </c>
      <c r="M499" s="402" t="s">
        <v>251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63"/>
    </row>
    <row r="500" spans="1:26" ht="15.75" hidden="1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943</v>
      </c>
      <c r="E500" s="110">
        <v>42678</v>
      </c>
      <c r="F500" s="109" t="s">
        <v>860</v>
      </c>
      <c r="G500" s="298" t="s">
        <v>744</v>
      </c>
      <c r="H500" s="112" t="s">
        <v>861</v>
      </c>
      <c r="I500" s="133">
        <v>430</v>
      </c>
      <c r="J500" s="133">
        <v>23500</v>
      </c>
      <c r="K500" s="13">
        <f>ROUND(I500*J500,0)</f>
        <v>10105000</v>
      </c>
      <c r="L500" s="113" t="s">
        <v>155</v>
      </c>
      <c r="M500" s="113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63">
        <v>4</v>
      </c>
    </row>
    <row r="501" spans="1:26" ht="15.75" hidden="1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943</v>
      </c>
      <c r="E501" s="110">
        <v>42678</v>
      </c>
      <c r="F501" s="109" t="s">
        <v>862</v>
      </c>
      <c r="G501" s="298" t="s">
        <v>744</v>
      </c>
      <c r="H501" s="112" t="s">
        <v>861</v>
      </c>
      <c r="I501" s="133">
        <v>250</v>
      </c>
      <c r="J501" s="133">
        <v>9000</v>
      </c>
      <c r="K501" s="13">
        <f>ROUND(I501*J501,0)</f>
        <v>2250000</v>
      </c>
      <c r="L501" s="113" t="s">
        <v>155</v>
      </c>
      <c r="M501" s="113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63">
        <v>4</v>
      </c>
    </row>
    <row r="502" spans="1:26" ht="15.75" hidden="1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943</v>
      </c>
      <c r="E502" s="110">
        <v>42678</v>
      </c>
      <c r="F502" s="109" t="s">
        <v>859</v>
      </c>
      <c r="G502" s="298" t="s">
        <v>744</v>
      </c>
      <c r="H502" s="112" t="s">
        <v>861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6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466</v>
      </c>
      <c r="E503" s="110">
        <v>42678</v>
      </c>
      <c r="F503" s="111" t="s">
        <v>463</v>
      </c>
      <c r="G503" s="298" t="s">
        <v>744</v>
      </c>
      <c r="H503" s="112" t="s">
        <v>861</v>
      </c>
      <c r="I503" s="133"/>
      <c r="J503" s="133"/>
      <c r="K503" s="13">
        <v>13590500</v>
      </c>
      <c r="L503" s="113" t="s">
        <v>8</v>
      </c>
      <c r="M503" s="402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6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468</v>
      </c>
      <c r="E504" s="110">
        <v>42678</v>
      </c>
      <c r="F504" s="111" t="s">
        <v>463</v>
      </c>
      <c r="G504" s="111" t="s">
        <v>472</v>
      </c>
      <c r="H504" s="547" t="s">
        <v>397</v>
      </c>
      <c r="I504" s="133"/>
      <c r="J504" s="133"/>
      <c r="K504" s="13">
        <v>25000000</v>
      </c>
      <c r="L504" s="113" t="s">
        <v>8</v>
      </c>
      <c r="M504" s="402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6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468</v>
      </c>
      <c r="E505" s="110">
        <v>42678</v>
      </c>
      <c r="F505" s="111" t="s">
        <v>478</v>
      </c>
      <c r="G505" s="111" t="s">
        <v>472</v>
      </c>
      <c r="H505" s="125"/>
      <c r="I505" s="133"/>
      <c r="J505" s="133"/>
      <c r="K505" s="13">
        <v>20000</v>
      </c>
      <c r="L505" s="113" t="s">
        <v>82</v>
      </c>
      <c r="M505" s="402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6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468</v>
      </c>
      <c r="E506" s="110">
        <v>42678</v>
      </c>
      <c r="F506" s="111" t="s">
        <v>479</v>
      </c>
      <c r="G506" s="111" t="s">
        <v>472</v>
      </c>
      <c r="H506" s="125"/>
      <c r="I506" s="133"/>
      <c r="J506" s="133"/>
      <c r="K506" s="13">
        <v>2000</v>
      </c>
      <c r="L506" s="113" t="s">
        <v>9</v>
      </c>
      <c r="M506" s="402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63">
        <v>4</v>
      </c>
    </row>
    <row r="507" spans="1:26" ht="15.75" hidden="1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990</v>
      </c>
      <c r="E507" s="110">
        <v>42678</v>
      </c>
      <c r="F507" s="111" t="s">
        <v>483</v>
      </c>
      <c r="G507" s="111" t="s">
        <v>472</v>
      </c>
      <c r="H507" s="112" t="s">
        <v>486</v>
      </c>
      <c r="I507" s="133"/>
      <c r="J507" s="133"/>
      <c r="K507" s="13">
        <v>59000000</v>
      </c>
      <c r="L507" s="113" t="s">
        <v>46</v>
      </c>
      <c r="M507" s="402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6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639</v>
      </c>
      <c r="E508" s="110">
        <v>42679</v>
      </c>
      <c r="F508" s="109" t="s">
        <v>784</v>
      </c>
      <c r="G508" s="298" t="s">
        <v>864</v>
      </c>
      <c r="H508" s="4" t="s">
        <v>782</v>
      </c>
      <c r="I508" s="135"/>
      <c r="J508" s="135"/>
      <c r="K508" s="13">
        <v>3910000</v>
      </c>
      <c r="L508" s="113" t="s">
        <v>82</v>
      </c>
      <c r="M508" s="402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6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639</v>
      </c>
      <c r="E509" s="110">
        <v>42679</v>
      </c>
      <c r="F509" s="109" t="s">
        <v>785</v>
      </c>
      <c r="G509" s="298" t="s">
        <v>864</v>
      </c>
      <c r="H509" s="4" t="s">
        <v>782</v>
      </c>
      <c r="I509" s="135"/>
      <c r="J509" s="135"/>
      <c r="K509" s="13">
        <v>391000</v>
      </c>
      <c r="L509" s="113" t="s">
        <v>9</v>
      </c>
      <c r="M509" s="402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63">
        <v>4</v>
      </c>
    </row>
    <row r="510" spans="1:26" ht="15.75" hidden="1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560</v>
      </c>
      <c r="E510" s="110">
        <v>42682</v>
      </c>
      <c r="F510" s="109" t="s">
        <v>500</v>
      </c>
      <c r="G510" s="296" t="s">
        <v>764</v>
      </c>
      <c r="H510" s="4" t="s">
        <v>365</v>
      </c>
      <c r="I510" s="133">
        <v>300</v>
      </c>
      <c r="J510" s="133">
        <v>13800</v>
      </c>
      <c r="K510" s="13">
        <f>ROUND(I510*J510,0)</f>
        <v>4140000</v>
      </c>
      <c r="L510" s="113" t="s">
        <v>251</v>
      </c>
      <c r="M510" s="402" t="s">
        <v>168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63"/>
    </row>
    <row r="511" spans="1:26" ht="15.75" hidden="1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560</v>
      </c>
      <c r="E511" s="110">
        <v>42682</v>
      </c>
      <c r="F511" s="109" t="s">
        <v>500</v>
      </c>
      <c r="G511" s="296" t="s">
        <v>764</v>
      </c>
      <c r="H511" s="4" t="s">
        <v>365</v>
      </c>
      <c r="I511" s="133">
        <v>2000</v>
      </c>
      <c r="J511" s="133">
        <v>13800</v>
      </c>
      <c r="K511" s="13">
        <f>ROUND(I511*J511,0)</f>
        <v>27600000</v>
      </c>
      <c r="L511" s="113" t="s">
        <v>251</v>
      </c>
      <c r="M511" s="402" t="s">
        <v>168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63"/>
    </row>
    <row r="512" spans="1:26" ht="15.75" hidden="1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560</v>
      </c>
      <c r="E512" s="110">
        <v>42682</v>
      </c>
      <c r="F512" s="109" t="s">
        <v>679</v>
      </c>
      <c r="G512" s="296" t="s">
        <v>764</v>
      </c>
      <c r="H512" s="4" t="s">
        <v>365</v>
      </c>
      <c r="I512" s="133">
        <v>4600</v>
      </c>
      <c r="J512" s="133">
        <v>1300</v>
      </c>
      <c r="K512" s="13">
        <f>ROUND(I512*J512,0)</f>
        <v>5980000</v>
      </c>
      <c r="L512" s="113" t="s">
        <v>251</v>
      </c>
      <c r="M512" s="402" t="s">
        <v>168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63"/>
    </row>
    <row r="513" spans="1:26" ht="15.75" hidden="1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560</v>
      </c>
      <c r="E513" s="110">
        <v>42682</v>
      </c>
      <c r="F513" s="109" t="s">
        <v>494</v>
      </c>
      <c r="G513" s="296" t="s">
        <v>764</v>
      </c>
      <c r="H513" s="4" t="s">
        <v>365</v>
      </c>
      <c r="I513" s="135"/>
      <c r="J513" s="133"/>
      <c r="K513" s="13">
        <v>3772000</v>
      </c>
      <c r="L513" s="113" t="s">
        <v>251</v>
      </c>
      <c r="M513" s="402" t="s">
        <v>350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63"/>
    </row>
    <row r="514" spans="1:26" ht="15.75" hidden="1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561</v>
      </c>
      <c r="E514" s="110">
        <v>42682</v>
      </c>
      <c r="F514" s="109" t="s">
        <v>680</v>
      </c>
      <c r="G514" s="296" t="s">
        <v>765</v>
      </c>
      <c r="H514" s="112" t="s">
        <v>681</v>
      </c>
      <c r="I514" s="133">
        <v>6030</v>
      </c>
      <c r="J514" s="133">
        <v>13800</v>
      </c>
      <c r="K514" s="13">
        <f>ROUND(I514*J514,0)</f>
        <v>83214000</v>
      </c>
      <c r="L514" s="113" t="s">
        <v>251</v>
      </c>
      <c r="M514" s="402" t="s">
        <v>168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63"/>
    </row>
    <row r="515" spans="1:26" ht="15.75" hidden="1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561</v>
      </c>
      <c r="E515" s="110">
        <v>42682</v>
      </c>
      <c r="F515" s="109" t="s">
        <v>494</v>
      </c>
      <c r="G515" s="296" t="s">
        <v>765</v>
      </c>
      <c r="H515" s="112" t="s">
        <v>681</v>
      </c>
      <c r="I515" s="133"/>
      <c r="J515" s="133"/>
      <c r="K515" s="13">
        <v>8321400</v>
      </c>
      <c r="L515" s="113" t="s">
        <v>251</v>
      </c>
      <c r="M515" s="402" t="s">
        <v>350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6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640</v>
      </c>
      <c r="E516" s="110">
        <v>42683</v>
      </c>
      <c r="F516" s="109" t="s">
        <v>865</v>
      </c>
      <c r="G516" s="298" t="s">
        <v>868</v>
      </c>
      <c r="H516" s="4" t="s">
        <v>867</v>
      </c>
      <c r="I516" s="135"/>
      <c r="J516" s="135"/>
      <c r="K516" s="13">
        <v>3150000</v>
      </c>
      <c r="L516" s="113" t="s">
        <v>82</v>
      </c>
      <c r="M516" s="402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6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640</v>
      </c>
      <c r="E517" s="110">
        <v>42683</v>
      </c>
      <c r="F517" s="109" t="s">
        <v>866</v>
      </c>
      <c r="G517" s="298" t="s">
        <v>868</v>
      </c>
      <c r="H517" s="4" t="s">
        <v>867</v>
      </c>
      <c r="I517" s="135"/>
      <c r="J517" s="135"/>
      <c r="K517" s="13">
        <v>315000</v>
      </c>
      <c r="L517" s="113" t="s">
        <v>9</v>
      </c>
      <c r="M517" s="402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63">
        <v>4</v>
      </c>
    </row>
    <row r="518" spans="1:26" ht="15.75" hidden="1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562</v>
      </c>
      <c r="E518" s="110">
        <v>42683</v>
      </c>
      <c r="F518" s="109" t="s">
        <v>690</v>
      </c>
      <c r="G518" s="296" t="s">
        <v>766</v>
      </c>
      <c r="H518" s="4" t="s">
        <v>621</v>
      </c>
      <c r="I518" s="133">
        <v>318</v>
      </c>
      <c r="J518" s="133">
        <v>5800</v>
      </c>
      <c r="K518" s="13">
        <f>ROUND(I518*J518,0)</f>
        <v>1844400</v>
      </c>
      <c r="L518" s="113" t="s">
        <v>251</v>
      </c>
      <c r="M518" s="402" t="s">
        <v>168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63"/>
    </row>
    <row r="519" spans="1:26" ht="15.75" hidden="1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562</v>
      </c>
      <c r="E519" s="110">
        <v>42683</v>
      </c>
      <c r="F519" s="109" t="s">
        <v>538</v>
      </c>
      <c r="G519" s="296" t="s">
        <v>766</v>
      </c>
      <c r="H519" s="4" t="s">
        <v>621</v>
      </c>
      <c r="I519" s="133">
        <v>520</v>
      </c>
      <c r="J519" s="133">
        <v>6400</v>
      </c>
      <c r="K519" s="13">
        <f>ROUND(I519*J519,0)</f>
        <v>3328000</v>
      </c>
      <c r="L519" s="113" t="s">
        <v>251</v>
      </c>
      <c r="M519" s="402" t="s">
        <v>168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63"/>
    </row>
    <row r="520" spans="1:26" ht="15.75" hidden="1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562</v>
      </c>
      <c r="E520" s="110">
        <v>42683</v>
      </c>
      <c r="F520" s="109" t="s">
        <v>494</v>
      </c>
      <c r="G520" s="296" t="s">
        <v>766</v>
      </c>
      <c r="H520" s="4" t="s">
        <v>621</v>
      </c>
      <c r="I520" s="134"/>
      <c r="J520" s="134"/>
      <c r="K520" s="13">
        <v>517240</v>
      </c>
      <c r="L520" s="113" t="s">
        <v>251</v>
      </c>
      <c r="M520" s="402" t="s">
        <v>350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63"/>
    </row>
    <row r="521" spans="1:26" ht="15.75" hidden="1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563</v>
      </c>
      <c r="E521" s="110">
        <v>42683</v>
      </c>
      <c r="F521" s="109" t="s">
        <v>811</v>
      </c>
      <c r="G521" s="296" t="s">
        <v>809</v>
      </c>
      <c r="H521" s="4" t="s">
        <v>812</v>
      </c>
      <c r="I521" s="133">
        <v>4000</v>
      </c>
      <c r="J521" s="133">
        <v>4500</v>
      </c>
      <c r="K521" s="13">
        <f>ROUND(I521*J521,0)</f>
        <v>18000000</v>
      </c>
      <c r="L521" s="113" t="s">
        <v>251</v>
      </c>
      <c r="M521" s="402" t="s">
        <v>168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63"/>
    </row>
    <row r="522" spans="1:26" ht="15.75" hidden="1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563</v>
      </c>
      <c r="E522" s="110">
        <v>42683</v>
      </c>
      <c r="F522" s="109" t="s">
        <v>494</v>
      </c>
      <c r="G522" s="296" t="s">
        <v>809</v>
      </c>
      <c r="H522" s="4" t="s">
        <v>812</v>
      </c>
      <c r="I522" s="134"/>
      <c r="J522" s="134"/>
      <c r="K522" s="13">
        <v>1800000</v>
      </c>
      <c r="L522" s="113" t="s">
        <v>251</v>
      </c>
      <c r="M522" s="402" t="s">
        <v>350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63"/>
    </row>
    <row r="523" spans="1:26" ht="15.75" hidden="1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991</v>
      </c>
      <c r="E523" s="110">
        <v>42683</v>
      </c>
      <c r="F523" s="111" t="s">
        <v>482</v>
      </c>
      <c r="G523" s="296" t="s">
        <v>809</v>
      </c>
      <c r="H523" s="4" t="s">
        <v>812</v>
      </c>
      <c r="I523" s="134"/>
      <c r="J523" s="134"/>
      <c r="K523" s="13">
        <v>19800000</v>
      </c>
      <c r="L523" s="113" t="s">
        <v>46</v>
      </c>
      <c r="M523" s="402" t="s">
        <v>251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63"/>
    </row>
    <row r="524" spans="1:26" ht="15.75" hidden="1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1077</v>
      </c>
      <c r="E524" s="110">
        <v>42683</v>
      </c>
      <c r="F524" s="109" t="s">
        <v>781</v>
      </c>
      <c r="G524" s="298" t="s">
        <v>702</v>
      </c>
      <c r="H524" s="112" t="s">
        <v>1075</v>
      </c>
      <c r="I524" s="133">
        <v>10552</v>
      </c>
      <c r="J524" s="133">
        <v>7800</v>
      </c>
      <c r="K524" s="13">
        <f>ROUND(I524*J524,0)</f>
        <v>82305600</v>
      </c>
      <c r="L524" s="113" t="s">
        <v>153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63">
        <v>4</v>
      </c>
    </row>
    <row r="525" spans="1:26" ht="15.75" hidden="1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1077</v>
      </c>
      <c r="E525" s="110">
        <v>42683</v>
      </c>
      <c r="F525" s="109" t="s">
        <v>374</v>
      </c>
      <c r="G525" s="298" t="s">
        <v>702</v>
      </c>
      <c r="H525" s="112" t="s">
        <v>1075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63">
        <v>4</v>
      </c>
    </row>
    <row r="526" spans="1:26" ht="15.75" hidden="1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1078</v>
      </c>
      <c r="E526" s="110">
        <v>42683</v>
      </c>
      <c r="F526" s="109" t="s">
        <v>781</v>
      </c>
      <c r="G526" s="298" t="s">
        <v>1076</v>
      </c>
      <c r="H526" s="112" t="s">
        <v>1075</v>
      </c>
      <c r="I526" s="133">
        <v>5676</v>
      </c>
      <c r="J526" s="133">
        <v>7800</v>
      </c>
      <c r="K526" s="13">
        <f>ROUND(I526*J526,0)</f>
        <v>44272800</v>
      </c>
      <c r="L526" s="113" t="s">
        <v>153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63">
        <v>4</v>
      </c>
    </row>
    <row r="527" spans="1:26" ht="15.75" hidden="1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1078</v>
      </c>
      <c r="E527" s="110">
        <v>42683</v>
      </c>
      <c r="F527" s="109" t="s">
        <v>374</v>
      </c>
      <c r="G527" s="298" t="s">
        <v>1076</v>
      </c>
      <c r="H527" s="112" t="s">
        <v>1075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63">
        <v>4</v>
      </c>
    </row>
    <row r="528" spans="1:26" ht="15.75" hidden="1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944</v>
      </c>
      <c r="E528" s="110">
        <v>42684</v>
      </c>
      <c r="F528" s="109" t="s">
        <v>862</v>
      </c>
      <c r="G528" s="298" t="s">
        <v>748</v>
      </c>
      <c r="H528" s="112" t="s">
        <v>861</v>
      </c>
      <c r="I528" s="133">
        <v>2000</v>
      </c>
      <c r="J528" s="133">
        <v>9000</v>
      </c>
      <c r="K528" s="13">
        <f>ROUND(I528*J528,0)</f>
        <v>18000000</v>
      </c>
      <c r="L528" s="113" t="s">
        <v>155</v>
      </c>
      <c r="M528" s="113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63">
        <v>4</v>
      </c>
    </row>
    <row r="529" spans="1:26" ht="15.75" hidden="1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944</v>
      </c>
      <c r="E529" s="110">
        <v>42684</v>
      </c>
      <c r="F529" s="109" t="s">
        <v>869</v>
      </c>
      <c r="G529" s="298" t="s">
        <v>748</v>
      </c>
      <c r="H529" s="112" t="s">
        <v>861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6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999</v>
      </c>
      <c r="E530" s="110">
        <v>42684</v>
      </c>
      <c r="F530" s="111" t="s">
        <v>463</v>
      </c>
      <c r="G530" s="298" t="s">
        <v>748</v>
      </c>
      <c r="H530" s="112" t="s">
        <v>861</v>
      </c>
      <c r="I530" s="133"/>
      <c r="J530" s="133"/>
      <c r="K530" s="13">
        <v>19800000</v>
      </c>
      <c r="L530" s="113" t="s">
        <v>8</v>
      </c>
      <c r="M530" s="402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63"/>
    </row>
    <row r="531" spans="1:26" ht="15.75" hidden="1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467</v>
      </c>
      <c r="E531" s="110">
        <v>42684</v>
      </c>
      <c r="F531" s="109" t="s">
        <v>482</v>
      </c>
      <c r="G531" s="111" t="s">
        <v>472</v>
      </c>
      <c r="H531" s="4" t="s">
        <v>369</v>
      </c>
      <c r="I531" s="133"/>
      <c r="J531" s="135"/>
      <c r="K531" s="13">
        <v>29870500</v>
      </c>
      <c r="L531" s="113" t="s">
        <v>24</v>
      </c>
      <c r="M531" s="402" t="s">
        <v>251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63"/>
    </row>
    <row r="532" spans="1:26" ht="15.75" hidden="1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564</v>
      </c>
      <c r="E532" s="110">
        <v>42684</v>
      </c>
      <c r="F532" s="109" t="s">
        <v>811</v>
      </c>
      <c r="G532" s="296" t="s">
        <v>810</v>
      </c>
      <c r="H532" s="4" t="s">
        <v>812</v>
      </c>
      <c r="I532" s="133">
        <v>4000</v>
      </c>
      <c r="J532" s="133">
        <v>4500</v>
      </c>
      <c r="K532" s="13">
        <f>ROUND(I532*J532,0)</f>
        <v>18000000</v>
      </c>
      <c r="L532" s="113" t="s">
        <v>251</v>
      </c>
      <c r="M532" s="402" t="s">
        <v>168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63"/>
    </row>
    <row r="533" spans="1:26" ht="15.75" hidden="1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564</v>
      </c>
      <c r="E533" s="110">
        <v>42684</v>
      </c>
      <c r="F533" s="109" t="s">
        <v>494</v>
      </c>
      <c r="G533" s="296" t="s">
        <v>810</v>
      </c>
      <c r="H533" s="4" t="s">
        <v>812</v>
      </c>
      <c r="I533" s="134"/>
      <c r="J533" s="134"/>
      <c r="K533" s="13">
        <v>1800000</v>
      </c>
      <c r="L533" s="113" t="s">
        <v>251</v>
      </c>
      <c r="M533" s="402" t="s">
        <v>350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63"/>
    </row>
    <row r="534" spans="1:26" ht="15.75" hidden="1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992</v>
      </c>
      <c r="E534" s="110">
        <v>42684</v>
      </c>
      <c r="F534" s="111" t="s">
        <v>482</v>
      </c>
      <c r="G534" s="296" t="s">
        <v>810</v>
      </c>
      <c r="H534" s="4" t="s">
        <v>812</v>
      </c>
      <c r="I534" s="134"/>
      <c r="J534" s="134"/>
      <c r="K534" s="13">
        <v>19800000</v>
      </c>
      <c r="L534" s="113" t="s">
        <v>46</v>
      </c>
      <c r="M534" s="402" t="s">
        <v>251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6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468</v>
      </c>
      <c r="E535" s="110">
        <v>42685</v>
      </c>
      <c r="F535" s="111" t="s">
        <v>463</v>
      </c>
      <c r="G535" s="111" t="s">
        <v>472</v>
      </c>
      <c r="H535" s="547" t="s">
        <v>396</v>
      </c>
      <c r="I535" s="133"/>
      <c r="J535" s="133"/>
      <c r="K535" s="13">
        <v>12000000</v>
      </c>
      <c r="L535" s="113" t="s">
        <v>8</v>
      </c>
      <c r="M535" s="402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6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468</v>
      </c>
      <c r="E536" s="110">
        <v>42685</v>
      </c>
      <c r="F536" s="111" t="s">
        <v>478</v>
      </c>
      <c r="G536" s="111" t="s">
        <v>472</v>
      </c>
      <c r="H536" s="125"/>
      <c r="I536" s="133"/>
      <c r="J536" s="133"/>
      <c r="K536" s="13">
        <v>20000</v>
      </c>
      <c r="L536" s="113" t="s">
        <v>82</v>
      </c>
      <c r="M536" s="402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6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468</v>
      </c>
      <c r="E537" s="110">
        <v>42685</v>
      </c>
      <c r="F537" s="111" t="s">
        <v>479</v>
      </c>
      <c r="G537" s="111" t="s">
        <v>472</v>
      </c>
      <c r="H537" s="125"/>
      <c r="I537" s="133"/>
      <c r="J537" s="133"/>
      <c r="K537" s="13">
        <v>2000</v>
      </c>
      <c r="L537" s="113" t="s">
        <v>9</v>
      </c>
      <c r="M537" s="402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63">
        <v>4</v>
      </c>
    </row>
    <row r="538" spans="1:26" ht="15.75" hidden="1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993</v>
      </c>
      <c r="E538" s="110">
        <v>42685</v>
      </c>
      <c r="F538" s="111" t="s">
        <v>483</v>
      </c>
      <c r="G538" s="111" t="s">
        <v>472</v>
      </c>
      <c r="H538" s="112" t="s">
        <v>486</v>
      </c>
      <c r="I538" s="133"/>
      <c r="J538" s="133"/>
      <c r="K538" s="13">
        <v>18000000</v>
      </c>
      <c r="L538" s="113" t="s">
        <v>46</v>
      </c>
      <c r="M538" s="402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6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1000</v>
      </c>
      <c r="E539" s="110">
        <v>42686</v>
      </c>
      <c r="F539" s="109" t="s">
        <v>353</v>
      </c>
      <c r="G539" s="298" t="s">
        <v>870</v>
      </c>
      <c r="H539" s="112" t="s">
        <v>425</v>
      </c>
      <c r="I539" s="133"/>
      <c r="J539" s="133"/>
      <c r="K539" s="13">
        <v>5800000</v>
      </c>
      <c r="L539" s="113" t="s">
        <v>159</v>
      </c>
      <c r="M539" s="402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6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1000</v>
      </c>
      <c r="E540" s="110">
        <v>42686</v>
      </c>
      <c r="F540" s="109" t="s">
        <v>423</v>
      </c>
      <c r="G540" s="298" t="s">
        <v>870</v>
      </c>
      <c r="H540" s="112" t="s">
        <v>425</v>
      </c>
      <c r="I540" s="133"/>
      <c r="J540" s="133"/>
      <c r="K540" s="13">
        <v>580000</v>
      </c>
      <c r="L540" s="113" t="s">
        <v>9</v>
      </c>
      <c r="M540" s="402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63">
        <v>4</v>
      </c>
    </row>
    <row r="541" spans="1:26" ht="15.75" hidden="1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945</v>
      </c>
      <c r="E541" s="110">
        <v>42688</v>
      </c>
      <c r="F541" s="109" t="s">
        <v>775</v>
      </c>
      <c r="G541" s="298" t="s">
        <v>705</v>
      </c>
      <c r="H541" s="112" t="s">
        <v>778</v>
      </c>
      <c r="I541" s="133">
        <v>18190</v>
      </c>
      <c r="J541" s="133">
        <v>800</v>
      </c>
      <c r="K541" s="13">
        <f>ROUND(I541*J541,0)</f>
        <v>14552000</v>
      </c>
      <c r="L541" s="113" t="s">
        <v>155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63">
        <v>4</v>
      </c>
    </row>
    <row r="542" spans="1:26" ht="15.75" hidden="1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945</v>
      </c>
      <c r="E542" s="110">
        <v>42688</v>
      </c>
      <c r="F542" s="109" t="s">
        <v>776</v>
      </c>
      <c r="G542" s="298" t="s">
        <v>705</v>
      </c>
      <c r="H542" s="112" t="s">
        <v>778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6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1001</v>
      </c>
      <c r="E543" s="110">
        <v>42688</v>
      </c>
      <c r="F543" s="109" t="s">
        <v>463</v>
      </c>
      <c r="G543" s="298" t="s">
        <v>705</v>
      </c>
      <c r="H543" s="112" t="s">
        <v>778</v>
      </c>
      <c r="I543" s="133"/>
      <c r="J543" s="133"/>
      <c r="K543" s="13">
        <v>16007200</v>
      </c>
      <c r="L543" s="113" t="s">
        <v>8</v>
      </c>
      <c r="M543" s="402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63"/>
    </row>
    <row r="544" spans="1:26" ht="15.75" hidden="1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1002</v>
      </c>
      <c r="E544" s="110">
        <v>42688</v>
      </c>
      <c r="F544" s="109" t="s">
        <v>469</v>
      </c>
      <c r="G544" s="111" t="s">
        <v>472</v>
      </c>
      <c r="H544" s="112" t="s">
        <v>486</v>
      </c>
      <c r="I544" s="133"/>
      <c r="J544" s="135"/>
      <c r="K544" s="13">
        <v>20000000</v>
      </c>
      <c r="L544" s="113" t="s">
        <v>24</v>
      </c>
      <c r="M544" s="402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6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468</v>
      </c>
      <c r="E545" s="110">
        <v>42688</v>
      </c>
      <c r="F545" s="111" t="s">
        <v>795</v>
      </c>
      <c r="G545" s="111" t="s">
        <v>472</v>
      </c>
      <c r="H545" s="125"/>
      <c r="I545" s="133"/>
      <c r="J545" s="133"/>
      <c r="K545" s="13">
        <v>20000</v>
      </c>
      <c r="L545" s="113" t="s">
        <v>82</v>
      </c>
      <c r="M545" s="402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6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468</v>
      </c>
      <c r="E546" s="110">
        <v>42688</v>
      </c>
      <c r="F546" s="111" t="s">
        <v>796</v>
      </c>
      <c r="G546" s="111" t="s">
        <v>472</v>
      </c>
      <c r="H546" s="125"/>
      <c r="I546" s="133"/>
      <c r="J546" s="133"/>
      <c r="K546" s="13">
        <v>2000</v>
      </c>
      <c r="L546" s="113" t="s">
        <v>9</v>
      </c>
      <c r="M546" s="402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6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468</v>
      </c>
      <c r="E547" s="110">
        <v>42688</v>
      </c>
      <c r="F547" s="111" t="s">
        <v>463</v>
      </c>
      <c r="G547" s="111" t="s">
        <v>472</v>
      </c>
      <c r="H547" s="547" t="s">
        <v>397</v>
      </c>
      <c r="I547" s="133"/>
      <c r="J547" s="133"/>
      <c r="K547" s="13">
        <v>20000000</v>
      </c>
      <c r="L547" s="113" t="s">
        <v>8</v>
      </c>
      <c r="M547" s="402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6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468</v>
      </c>
      <c r="E548" s="110">
        <v>42688</v>
      </c>
      <c r="F548" s="111" t="s">
        <v>478</v>
      </c>
      <c r="G548" s="111" t="s">
        <v>472</v>
      </c>
      <c r="H548" s="125"/>
      <c r="I548" s="133"/>
      <c r="J548" s="133"/>
      <c r="K548" s="13">
        <v>10000</v>
      </c>
      <c r="L548" s="113" t="s">
        <v>82</v>
      </c>
      <c r="M548" s="402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6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468</v>
      </c>
      <c r="E549" s="110">
        <v>42688</v>
      </c>
      <c r="F549" s="111" t="s">
        <v>479</v>
      </c>
      <c r="G549" s="111" t="s">
        <v>472</v>
      </c>
      <c r="H549" s="125"/>
      <c r="I549" s="133"/>
      <c r="J549" s="133"/>
      <c r="K549" s="13">
        <v>1000</v>
      </c>
      <c r="L549" s="113" t="s">
        <v>9</v>
      </c>
      <c r="M549" s="402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63">
        <v>4</v>
      </c>
    </row>
    <row r="550" spans="1:26" ht="15.75" hidden="1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323</v>
      </c>
      <c r="E550" s="110">
        <v>42689</v>
      </c>
      <c r="F550" s="109" t="s">
        <v>871</v>
      </c>
      <c r="G550" s="298" t="s">
        <v>834</v>
      </c>
      <c r="H550" s="112" t="s">
        <v>622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63">
        <v>4</v>
      </c>
    </row>
    <row r="551" spans="1:26" ht="15.75" hidden="1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323</v>
      </c>
      <c r="E551" s="110">
        <v>42689</v>
      </c>
      <c r="F551" s="109" t="s">
        <v>433</v>
      </c>
      <c r="G551" s="298" t="s">
        <v>834</v>
      </c>
      <c r="H551" s="112" t="s">
        <v>622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63">
        <v>4</v>
      </c>
    </row>
    <row r="552" spans="1:26" ht="15.75" hidden="1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467</v>
      </c>
      <c r="E552" s="110">
        <v>42689</v>
      </c>
      <c r="F552" s="109" t="s">
        <v>482</v>
      </c>
      <c r="G552" s="111" t="s">
        <v>472</v>
      </c>
      <c r="H552" s="4" t="s">
        <v>365</v>
      </c>
      <c r="I552" s="133"/>
      <c r="J552" s="135"/>
      <c r="K552" s="13">
        <v>41492000</v>
      </c>
      <c r="L552" s="113" t="s">
        <v>24</v>
      </c>
      <c r="M552" s="402" t="s">
        <v>251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63"/>
    </row>
    <row r="553" spans="1:26" ht="15.75" hidden="1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994</v>
      </c>
      <c r="E553" s="110">
        <v>42689</v>
      </c>
      <c r="F553" s="111" t="s">
        <v>483</v>
      </c>
      <c r="G553" s="111" t="s">
        <v>472</v>
      </c>
      <c r="H553" s="125" t="s">
        <v>473</v>
      </c>
      <c r="I553" s="133"/>
      <c r="J553" s="133"/>
      <c r="K553" s="13">
        <v>10000000</v>
      </c>
      <c r="L553" s="113" t="s">
        <v>46</v>
      </c>
      <c r="M553" s="402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63"/>
    </row>
    <row r="554" spans="1:26" ht="15.75" hidden="1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467</v>
      </c>
      <c r="E554" s="110">
        <v>42691</v>
      </c>
      <c r="F554" s="109" t="s">
        <v>482</v>
      </c>
      <c r="G554" s="111" t="s">
        <v>472</v>
      </c>
      <c r="H554" s="112" t="s">
        <v>681</v>
      </c>
      <c r="I554" s="133"/>
      <c r="J554" s="135"/>
      <c r="K554" s="13">
        <v>63756000</v>
      </c>
      <c r="L554" s="113" t="s">
        <v>24</v>
      </c>
      <c r="M554" s="402" t="s">
        <v>251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6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468</v>
      </c>
      <c r="E555" s="110">
        <v>42692</v>
      </c>
      <c r="F555" s="111" t="s">
        <v>477</v>
      </c>
      <c r="G555" s="111" t="s">
        <v>472</v>
      </c>
      <c r="H555" s="112" t="s">
        <v>622</v>
      </c>
      <c r="I555" s="133"/>
      <c r="J555" s="135"/>
      <c r="K555" s="13">
        <v>40700000</v>
      </c>
      <c r="L555" s="113" t="s">
        <v>8</v>
      </c>
      <c r="M555" s="402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6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468</v>
      </c>
      <c r="E556" s="110">
        <v>42692</v>
      </c>
      <c r="F556" s="111" t="s">
        <v>478</v>
      </c>
      <c r="G556" s="111" t="s">
        <v>472</v>
      </c>
      <c r="H556" s="125"/>
      <c r="I556" s="134"/>
      <c r="J556" s="134"/>
      <c r="K556" s="13">
        <v>20000</v>
      </c>
      <c r="L556" s="113" t="s">
        <v>82</v>
      </c>
      <c r="M556" s="402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6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468</v>
      </c>
      <c r="E557" s="110">
        <v>42692</v>
      </c>
      <c r="F557" s="111" t="s">
        <v>479</v>
      </c>
      <c r="G557" s="111" t="s">
        <v>472</v>
      </c>
      <c r="H557" s="125"/>
      <c r="I557" s="133"/>
      <c r="J557" s="133"/>
      <c r="K557" s="13">
        <v>2000</v>
      </c>
      <c r="L557" s="113" t="s">
        <v>9</v>
      </c>
      <c r="M557" s="402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63">
        <v>4</v>
      </c>
    </row>
    <row r="558" spans="1:26" ht="15.75" hidden="1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995</v>
      </c>
      <c r="E558" s="110">
        <v>42692</v>
      </c>
      <c r="F558" s="111" t="s">
        <v>483</v>
      </c>
      <c r="G558" s="111" t="s">
        <v>472</v>
      </c>
      <c r="H558" s="125" t="s">
        <v>794</v>
      </c>
      <c r="I558" s="133"/>
      <c r="J558" s="133"/>
      <c r="K558" s="13">
        <v>54300000</v>
      </c>
      <c r="L558" s="113" t="s">
        <v>46</v>
      </c>
      <c r="M558" s="402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6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1005</v>
      </c>
      <c r="E559" s="110">
        <v>42693</v>
      </c>
      <c r="F559" s="109" t="s">
        <v>872</v>
      </c>
      <c r="G559" s="298" t="s">
        <v>874</v>
      </c>
      <c r="H559" s="112" t="s">
        <v>875</v>
      </c>
      <c r="I559" s="133"/>
      <c r="J559" s="133"/>
      <c r="K559" s="13">
        <v>843000</v>
      </c>
      <c r="L559" s="113" t="s">
        <v>82</v>
      </c>
      <c r="M559" s="402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6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1005</v>
      </c>
      <c r="E560" s="110">
        <v>42693</v>
      </c>
      <c r="F560" s="109" t="s">
        <v>873</v>
      </c>
      <c r="G560" s="298" t="s">
        <v>874</v>
      </c>
      <c r="H560" s="112" t="s">
        <v>875</v>
      </c>
      <c r="I560" s="133"/>
      <c r="J560" s="133"/>
      <c r="K560" s="13">
        <v>84300</v>
      </c>
      <c r="L560" s="113" t="s">
        <v>9</v>
      </c>
      <c r="M560" s="402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63">
        <v>4</v>
      </c>
    </row>
    <row r="561" spans="1:26" ht="15.75" hidden="1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565</v>
      </c>
      <c r="E561" s="110">
        <v>42693</v>
      </c>
      <c r="F561" s="109" t="s">
        <v>683</v>
      </c>
      <c r="G561" s="296" t="s">
        <v>767</v>
      </c>
      <c r="H561" s="4" t="s">
        <v>367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251</v>
      </c>
      <c r="M561" s="402" t="s">
        <v>168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63"/>
    </row>
    <row r="562" spans="1:26" ht="15.75" hidden="1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565</v>
      </c>
      <c r="E562" s="110">
        <v>42693</v>
      </c>
      <c r="F562" s="109" t="s">
        <v>496</v>
      </c>
      <c r="G562" s="296" t="s">
        <v>767</v>
      </c>
      <c r="H562" s="4" t="s">
        <v>367</v>
      </c>
      <c r="I562" s="134">
        <v>63</v>
      </c>
      <c r="J562" s="134">
        <v>75276</v>
      </c>
      <c r="K562" s="13">
        <f t="shared" si="22"/>
        <v>4742388</v>
      </c>
      <c r="L562" s="113" t="s">
        <v>251</v>
      </c>
      <c r="M562" s="402" t="s">
        <v>168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63"/>
    </row>
    <row r="563" spans="1:26" ht="15.75" hidden="1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565</v>
      </c>
      <c r="E563" s="110">
        <v>42693</v>
      </c>
      <c r="F563" s="109" t="s">
        <v>684</v>
      </c>
      <c r="G563" s="296" t="s">
        <v>767</v>
      </c>
      <c r="H563" s="4" t="s">
        <v>367</v>
      </c>
      <c r="I563" s="133">
        <v>27</v>
      </c>
      <c r="J563" s="133">
        <v>29954</v>
      </c>
      <c r="K563" s="13">
        <f t="shared" si="22"/>
        <v>808758</v>
      </c>
      <c r="L563" s="113" t="s">
        <v>251</v>
      </c>
      <c r="M563" s="402" t="s">
        <v>168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63"/>
    </row>
    <row r="564" spans="1:26" ht="15.75" hidden="1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565</v>
      </c>
      <c r="E564" s="110">
        <v>42693</v>
      </c>
      <c r="F564" s="109" t="s">
        <v>685</v>
      </c>
      <c r="G564" s="296" t="s">
        <v>767</v>
      </c>
      <c r="H564" s="4" t="s">
        <v>367</v>
      </c>
      <c r="I564" s="133">
        <v>27</v>
      </c>
      <c r="J564" s="133">
        <v>27926</v>
      </c>
      <c r="K564" s="13">
        <f t="shared" si="22"/>
        <v>754002</v>
      </c>
      <c r="L564" s="113" t="s">
        <v>251</v>
      </c>
      <c r="M564" s="402" t="s">
        <v>168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63"/>
    </row>
    <row r="565" spans="1:26" ht="15.75" hidden="1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565</v>
      </c>
      <c r="E565" s="110">
        <v>42693</v>
      </c>
      <c r="F565" s="109" t="s">
        <v>686</v>
      </c>
      <c r="G565" s="296" t="s">
        <v>767</v>
      </c>
      <c r="H565" s="4" t="s">
        <v>367</v>
      </c>
      <c r="I565" s="133">
        <v>26</v>
      </c>
      <c r="J565" s="133">
        <v>42230</v>
      </c>
      <c r="K565" s="13">
        <f t="shared" si="22"/>
        <v>1097980</v>
      </c>
      <c r="L565" s="113" t="s">
        <v>251</v>
      </c>
      <c r="M565" s="402" t="s">
        <v>168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63"/>
    </row>
    <row r="566" spans="1:26" ht="15.75" hidden="1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565</v>
      </c>
      <c r="E566" s="110">
        <v>42693</v>
      </c>
      <c r="F566" s="109" t="s">
        <v>687</v>
      </c>
      <c r="G566" s="296" t="s">
        <v>767</v>
      </c>
      <c r="H566" s="4" t="s">
        <v>367</v>
      </c>
      <c r="I566" s="133">
        <v>21</v>
      </c>
      <c r="J566" s="133">
        <v>21839</v>
      </c>
      <c r="K566" s="13">
        <f t="shared" si="22"/>
        <v>458619</v>
      </c>
      <c r="L566" s="113" t="s">
        <v>251</v>
      </c>
      <c r="M566" s="402" t="s">
        <v>168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63"/>
    </row>
    <row r="567" spans="1:26" ht="15.75" hidden="1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565</v>
      </c>
      <c r="E567" s="110">
        <v>42693</v>
      </c>
      <c r="F567" s="109" t="s">
        <v>494</v>
      </c>
      <c r="G567" s="296" t="s">
        <v>767</v>
      </c>
      <c r="H567" s="4" t="s">
        <v>367</v>
      </c>
      <c r="I567" s="133"/>
      <c r="J567" s="133"/>
      <c r="K567" s="13">
        <v>823136</v>
      </c>
      <c r="L567" s="113" t="s">
        <v>251</v>
      </c>
      <c r="M567" s="402" t="s">
        <v>350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63"/>
    </row>
    <row r="568" spans="1:26" ht="15.75" hidden="1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996</v>
      </c>
      <c r="E568" s="110">
        <v>42693</v>
      </c>
      <c r="F568" s="111" t="s">
        <v>482</v>
      </c>
      <c r="G568" s="296" t="s">
        <v>767</v>
      </c>
      <c r="H568" s="4" t="s">
        <v>367</v>
      </c>
      <c r="I568" s="133"/>
      <c r="J568" s="133"/>
      <c r="K568" s="13">
        <v>9054493</v>
      </c>
      <c r="L568" s="113" t="s">
        <v>46</v>
      </c>
      <c r="M568" s="402" t="s">
        <v>251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63"/>
    </row>
    <row r="569" spans="1:26" ht="15.75" hidden="1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567</v>
      </c>
      <c r="E569" s="110">
        <v>42693</v>
      </c>
      <c r="F569" s="109" t="s">
        <v>811</v>
      </c>
      <c r="G569" s="296" t="s">
        <v>813</v>
      </c>
      <c r="H569" s="4" t="s">
        <v>812</v>
      </c>
      <c r="I569" s="133">
        <v>4000</v>
      </c>
      <c r="J569" s="133">
        <v>4500</v>
      </c>
      <c r="K569" s="13">
        <f>ROUND(I569*J569,0)</f>
        <v>18000000</v>
      </c>
      <c r="L569" s="113" t="s">
        <v>251</v>
      </c>
      <c r="M569" s="402" t="s">
        <v>168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63"/>
    </row>
    <row r="570" spans="1:26" ht="15.75" hidden="1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567</v>
      </c>
      <c r="E570" s="110">
        <v>42693</v>
      </c>
      <c r="F570" s="109" t="s">
        <v>494</v>
      </c>
      <c r="G570" s="296" t="s">
        <v>813</v>
      </c>
      <c r="H570" s="4" t="s">
        <v>812</v>
      </c>
      <c r="I570" s="134"/>
      <c r="J570" s="134"/>
      <c r="K570" s="13">
        <v>1800000</v>
      </c>
      <c r="L570" s="113" t="s">
        <v>251</v>
      </c>
      <c r="M570" s="402" t="s">
        <v>350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63"/>
    </row>
    <row r="571" spans="1:26" ht="15.75" hidden="1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997</v>
      </c>
      <c r="E571" s="110">
        <v>42693</v>
      </c>
      <c r="F571" s="111" t="s">
        <v>482</v>
      </c>
      <c r="G571" s="296" t="s">
        <v>813</v>
      </c>
      <c r="H571" s="4" t="s">
        <v>812</v>
      </c>
      <c r="I571" s="134"/>
      <c r="J571" s="134"/>
      <c r="K571" s="13">
        <v>19800000</v>
      </c>
      <c r="L571" s="113" t="s">
        <v>46</v>
      </c>
      <c r="M571" s="402" t="s">
        <v>251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63"/>
    </row>
    <row r="572" spans="1:26" ht="15.75" hidden="1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566</v>
      </c>
      <c r="E572" s="110">
        <v>42694</v>
      </c>
      <c r="F572" s="109" t="s">
        <v>957</v>
      </c>
      <c r="G572" s="296" t="s">
        <v>436</v>
      </c>
      <c r="H572" s="4" t="s">
        <v>956</v>
      </c>
      <c r="I572" s="133">
        <v>1560</v>
      </c>
      <c r="J572" s="133">
        <v>8813</v>
      </c>
      <c r="K572" s="13">
        <f>ROUND(I572*J572,0)</f>
        <v>13748280</v>
      </c>
      <c r="L572" s="113" t="s">
        <v>251</v>
      </c>
      <c r="M572" s="402" t="s">
        <v>168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63"/>
    </row>
    <row r="573" spans="1:26" ht="15.75" hidden="1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566</v>
      </c>
      <c r="E573" s="110">
        <v>42694</v>
      </c>
      <c r="F573" s="109" t="s">
        <v>494</v>
      </c>
      <c r="G573" s="296" t="s">
        <v>436</v>
      </c>
      <c r="H573" s="4" t="s">
        <v>956</v>
      </c>
      <c r="I573" s="134"/>
      <c r="J573" s="134"/>
      <c r="K573" s="13">
        <v>1374828</v>
      </c>
      <c r="L573" s="113" t="s">
        <v>251</v>
      </c>
      <c r="M573" s="402" t="s">
        <v>350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63"/>
    </row>
    <row r="574" spans="1:26" ht="15.75" hidden="1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998</v>
      </c>
      <c r="E574" s="110">
        <v>42694</v>
      </c>
      <c r="F574" s="111" t="s">
        <v>482</v>
      </c>
      <c r="G574" s="296" t="s">
        <v>436</v>
      </c>
      <c r="H574" s="4" t="s">
        <v>956</v>
      </c>
      <c r="I574" s="134"/>
      <c r="J574" s="134"/>
      <c r="K574" s="13">
        <v>15123108</v>
      </c>
      <c r="L574" s="113" t="s">
        <v>46</v>
      </c>
      <c r="M574" s="402" t="s">
        <v>251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63"/>
    </row>
    <row r="575" spans="1:26" ht="15.75" hidden="1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568</v>
      </c>
      <c r="E575" s="110">
        <v>42696</v>
      </c>
      <c r="F575" s="109" t="s">
        <v>682</v>
      </c>
      <c r="G575" s="296" t="s">
        <v>768</v>
      </c>
      <c r="H575" s="125" t="s">
        <v>821</v>
      </c>
      <c r="I575" s="134">
        <v>608</v>
      </c>
      <c r="J575" s="134">
        <v>20750</v>
      </c>
      <c r="K575" s="13">
        <f>ROUND(I575*J575,0)</f>
        <v>12616000</v>
      </c>
      <c r="L575" s="113" t="s">
        <v>251</v>
      </c>
      <c r="M575" s="402" t="s">
        <v>168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63"/>
    </row>
    <row r="576" spans="1:26" ht="15.75" hidden="1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568</v>
      </c>
      <c r="E576" s="110">
        <v>42696</v>
      </c>
      <c r="F576" s="109" t="s">
        <v>494</v>
      </c>
      <c r="G576" s="296" t="s">
        <v>768</v>
      </c>
      <c r="H576" s="125" t="s">
        <v>821</v>
      </c>
      <c r="I576" s="133"/>
      <c r="J576" s="133"/>
      <c r="K576" s="13">
        <v>1261600</v>
      </c>
      <c r="L576" s="113" t="s">
        <v>251</v>
      </c>
      <c r="M576" s="402" t="s">
        <v>350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63"/>
    </row>
    <row r="577" spans="1:26" ht="15.75" hidden="1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467</v>
      </c>
      <c r="E577" s="110">
        <v>42697</v>
      </c>
      <c r="F577" s="109" t="s">
        <v>482</v>
      </c>
      <c r="G577" s="111" t="s">
        <v>472</v>
      </c>
      <c r="H577" s="125" t="s">
        <v>821</v>
      </c>
      <c r="I577" s="134"/>
      <c r="J577" s="134"/>
      <c r="K577" s="13">
        <v>13877600</v>
      </c>
      <c r="L577" s="113" t="s">
        <v>24</v>
      </c>
      <c r="M577" s="402" t="s">
        <v>251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63"/>
    </row>
    <row r="578" spans="1:26" ht="15.75" hidden="1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569</v>
      </c>
      <c r="E578" s="110">
        <v>42697</v>
      </c>
      <c r="F578" s="109" t="s">
        <v>811</v>
      </c>
      <c r="G578" s="296" t="s">
        <v>814</v>
      </c>
      <c r="H578" s="4" t="s">
        <v>812</v>
      </c>
      <c r="I578" s="133">
        <v>3353</v>
      </c>
      <c r="J578" s="133">
        <v>4500</v>
      </c>
      <c r="K578" s="13">
        <f>ROUND(I578*J578,0)</f>
        <v>15088500</v>
      </c>
      <c r="L578" s="113" t="s">
        <v>251</v>
      </c>
      <c r="M578" s="402" t="s">
        <v>168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63"/>
    </row>
    <row r="579" spans="1:26" ht="15.75" hidden="1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569</v>
      </c>
      <c r="E579" s="110">
        <v>42697</v>
      </c>
      <c r="F579" s="109" t="s">
        <v>494</v>
      </c>
      <c r="G579" s="296" t="s">
        <v>814</v>
      </c>
      <c r="H579" s="4" t="s">
        <v>812</v>
      </c>
      <c r="I579" s="134"/>
      <c r="J579" s="134"/>
      <c r="K579" s="13">
        <v>1508850</v>
      </c>
      <c r="L579" s="113" t="s">
        <v>251</v>
      </c>
      <c r="M579" s="402" t="s">
        <v>350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63"/>
    </row>
    <row r="580" spans="1:26" ht="15.75" hidden="1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1003</v>
      </c>
      <c r="E580" s="110">
        <v>42697</v>
      </c>
      <c r="F580" s="111" t="s">
        <v>482</v>
      </c>
      <c r="G580" s="296" t="s">
        <v>814</v>
      </c>
      <c r="H580" s="4" t="s">
        <v>812</v>
      </c>
      <c r="I580" s="134"/>
      <c r="J580" s="134"/>
      <c r="K580" s="13">
        <v>16597350</v>
      </c>
      <c r="L580" s="113" t="s">
        <v>46</v>
      </c>
      <c r="M580" s="402" t="s">
        <v>251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6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1006</v>
      </c>
      <c r="E581" s="110">
        <v>42698</v>
      </c>
      <c r="F581" s="109" t="s">
        <v>789</v>
      </c>
      <c r="G581" s="298" t="s">
        <v>876</v>
      </c>
      <c r="H581" s="112" t="s">
        <v>792</v>
      </c>
      <c r="I581" s="133"/>
      <c r="J581" s="133"/>
      <c r="K581" s="13">
        <v>1548100</v>
      </c>
      <c r="L581" s="113" t="s">
        <v>82</v>
      </c>
      <c r="M581" s="402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6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1006</v>
      </c>
      <c r="E582" s="110">
        <v>42698</v>
      </c>
      <c r="F582" s="109" t="s">
        <v>790</v>
      </c>
      <c r="G582" s="298" t="s">
        <v>876</v>
      </c>
      <c r="H582" s="112" t="s">
        <v>792</v>
      </c>
      <c r="I582" s="133"/>
      <c r="J582" s="133"/>
      <c r="K582" s="13">
        <v>154810</v>
      </c>
      <c r="L582" s="113" t="s">
        <v>9</v>
      </c>
      <c r="M582" s="402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63">
        <v>4</v>
      </c>
    </row>
    <row r="583" spans="1:26" ht="15.75" hidden="1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946</v>
      </c>
      <c r="E583" s="110">
        <v>42698</v>
      </c>
      <c r="F583" s="109" t="s">
        <v>775</v>
      </c>
      <c r="G583" s="298" t="s">
        <v>716</v>
      </c>
      <c r="H583" s="112" t="s">
        <v>778</v>
      </c>
      <c r="I583" s="133">
        <v>17050</v>
      </c>
      <c r="J583" s="133">
        <v>800</v>
      </c>
      <c r="K583" s="13">
        <f>ROUND(I583*J583,0)</f>
        <v>13640000</v>
      </c>
      <c r="L583" s="113" t="s">
        <v>155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63">
        <v>4</v>
      </c>
    </row>
    <row r="584" spans="1:26" ht="15.75" hidden="1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946</v>
      </c>
      <c r="E584" s="110">
        <v>42698</v>
      </c>
      <c r="F584" s="109" t="s">
        <v>776</v>
      </c>
      <c r="G584" s="298" t="s">
        <v>716</v>
      </c>
      <c r="H584" s="112" t="s">
        <v>778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6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1007</v>
      </c>
      <c r="E585" s="110">
        <v>42698</v>
      </c>
      <c r="F585" s="109" t="s">
        <v>463</v>
      </c>
      <c r="G585" s="298" t="s">
        <v>716</v>
      </c>
      <c r="H585" s="112" t="s">
        <v>778</v>
      </c>
      <c r="I585" s="133"/>
      <c r="J585" s="133"/>
      <c r="K585" s="13">
        <v>15004000</v>
      </c>
      <c r="L585" s="113" t="s">
        <v>8</v>
      </c>
      <c r="M585" s="402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63"/>
    </row>
    <row r="586" spans="1:26" ht="15.75" hidden="1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467</v>
      </c>
      <c r="E586" s="110">
        <v>42698</v>
      </c>
      <c r="F586" s="109" t="s">
        <v>482</v>
      </c>
      <c r="G586" s="111" t="s">
        <v>472</v>
      </c>
      <c r="H586" s="4" t="s">
        <v>369</v>
      </c>
      <c r="I586" s="133"/>
      <c r="J586" s="133"/>
      <c r="K586" s="13">
        <v>18385400</v>
      </c>
      <c r="L586" s="113" t="s">
        <v>24</v>
      </c>
      <c r="M586" s="402" t="s">
        <v>251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63"/>
    </row>
    <row r="587" spans="1:26" ht="15.75" hidden="1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467</v>
      </c>
      <c r="E587" s="110">
        <v>42698</v>
      </c>
      <c r="F587" s="109" t="s">
        <v>797</v>
      </c>
      <c r="G587" s="111" t="s">
        <v>472</v>
      </c>
      <c r="H587" s="4" t="s">
        <v>369</v>
      </c>
      <c r="I587" s="133"/>
      <c r="J587" s="133"/>
      <c r="K587" s="13">
        <v>22000</v>
      </c>
      <c r="L587" s="113" t="s">
        <v>82</v>
      </c>
      <c r="M587" s="402" t="s">
        <v>251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63"/>
    </row>
    <row r="588" spans="1:26" ht="15.75" hidden="1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467</v>
      </c>
      <c r="E588" s="110">
        <v>42699</v>
      </c>
      <c r="F588" s="109" t="s">
        <v>474</v>
      </c>
      <c r="G588" s="111" t="s">
        <v>472</v>
      </c>
      <c r="H588" s="17"/>
      <c r="I588" s="134"/>
      <c r="J588" s="134"/>
      <c r="K588" s="13">
        <v>5005</v>
      </c>
      <c r="L588" s="113" t="s">
        <v>24</v>
      </c>
      <c r="M588" s="402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63"/>
    </row>
    <row r="589" spans="1:26" ht="15.75" hidden="1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1004</v>
      </c>
      <c r="E589" s="110">
        <v>42699</v>
      </c>
      <c r="F589" s="111" t="s">
        <v>483</v>
      </c>
      <c r="G589" s="111" t="s">
        <v>472</v>
      </c>
      <c r="H589" s="112" t="s">
        <v>486</v>
      </c>
      <c r="I589" s="133"/>
      <c r="J589" s="135"/>
      <c r="K589" s="13">
        <v>20000000</v>
      </c>
      <c r="L589" s="113" t="s">
        <v>46</v>
      </c>
      <c r="M589" s="402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6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468</v>
      </c>
      <c r="E590" s="110">
        <v>42699</v>
      </c>
      <c r="F590" s="111" t="s">
        <v>463</v>
      </c>
      <c r="G590" s="111" t="s">
        <v>472</v>
      </c>
      <c r="H590" s="547" t="s">
        <v>396</v>
      </c>
      <c r="I590" s="133"/>
      <c r="J590" s="135"/>
      <c r="K590" s="13">
        <v>12500000</v>
      </c>
      <c r="L590" s="113" t="s">
        <v>8</v>
      </c>
      <c r="M590" s="402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6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468</v>
      </c>
      <c r="E591" s="110">
        <v>42699</v>
      </c>
      <c r="F591" s="111" t="s">
        <v>470</v>
      </c>
      <c r="G591" s="111" t="s">
        <v>472</v>
      </c>
      <c r="H591" s="112"/>
      <c r="I591" s="133"/>
      <c r="J591" s="135"/>
      <c r="K591" s="13">
        <v>20000</v>
      </c>
      <c r="L591" s="113" t="s">
        <v>82</v>
      </c>
      <c r="M591" s="402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6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468</v>
      </c>
      <c r="E592" s="110">
        <v>42699</v>
      </c>
      <c r="F592" s="111" t="s">
        <v>471</v>
      </c>
      <c r="G592" s="111" t="s">
        <v>472</v>
      </c>
      <c r="H592" s="112"/>
      <c r="I592" s="133"/>
      <c r="J592" s="135"/>
      <c r="K592" s="13">
        <v>2000</v>
      </c>
      <c r="L592" s="113" t="s">
        <v>9</v>
      </c>
      <c r="M592" s="402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6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468</v>
      </c>
      <c r="E593" s="110">
        <v>42699</v>
      </c>
      <c r="F593" s="111" t="s">
        <v>475</v>
      </c>
      <c r="G593" s="111" t="s">
        <v>472</v>
      </c>
      <c r="H593" s="112"/>
      <c r="I593" s="133"/>
      <c r="J593" s="135"/>
      <c r="K593" s="13">
        <v>10000</v>
      </c>
      <c r="L593" s="113" t="s">
        <v>82</v>
      </c>
      <c r="M593" s="402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6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468</v>
      </c>
      <c r="E594" s="110">
        <v>42699</v>
      </c>
      <c r="F594" s="111" t="s">
        <v>476</v>
      </c>
      <c r="G594" s="111" t="s">
        <v>472</v>
      </c>
      <c r="H594" s="112"/>
      <c r="I594" s="133"/>
      <c r="J594" s="135"/>
      <c r="K594" s="13">
        <v>1000</v>
      </c>
      <c r="L594" s="113" t="s">
        <v>9</v>
      </c>
      <c r="M594" s="402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63">
        <v>4</v>
      </c>
    </row>
    <row r="595" spans="1:26" ht="15.75" hidden="1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467</v>
      </c>
      <c r="E595" s="110">
        <v>42702</v>
      </c>
      <c r="F595" s="109" t="s">
        <v>482</v>
      </c>
      <c r="G595" s="111" t="s">
        <v>472</v>
      </c>
      <c r="H595" s="4" t="s">
        <v>369</v>
      </c>
      <c r="I595" s="133"/>
      <c r="J595" s="133"/>
      <c r="K595" s="13">
        <v>22471790</v>
      </c>
      <c r="L595" s="113" t="s">
        <v>24</v>
      </c>
      <c r="M595" s="402" t="s">
        <v>251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63"/>
    </row>
    <row r="596" spans="1:26" ht="15.75" hidden="1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467</v>
      </c>
      <c r="E596" s="110">
        <v>42702</v>
      </c>
      <c r="F596" s="109" t="s">
        <v>797</v>
      </c>
      <c r="G596" s="111" t="s">
        <v>472</v>
      </c>
      <c r="H596" s="4" t="s">
        <v>369</v>
      </c>
      <c r="I596" s="133"/>
      <c r="J596" s="133"/>
      <c r="K596" s="13">
        <v>22000</v>
      </c>
      <c r="L596" s="113" t="s">
        <v>82</v>
      </c>
      <c r="M596" s="402" t="s">
        <v>251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63"/>
    </row>
    <row r="597" spans="1:26" ht="15.75" hidden="1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1009</v>
      </c>
      <c r="E597" s="110">
        <v>42703</v>
      </c>
      <c r="F597" s="111" t="s">
        <v>483</v>
      </c>
      <c r="G597" s="111" t="s">
        <v>472</v>
      </c>
      <c r="H597" s="112" t="s">
        <v>486</v>
      </c>
      <c r="I597" s="133"/>
      <c r="J597" s="135"/>
      <c r="K597" s="13">
        <v>22500000</v>
      </c>
      <c r="L597" s="113" t="s">
        <v>46</v>
      </c>
      <c r="M597" s="402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6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1008</v>
      </c>
      <c r="E598" s="110">
        <v>42703</v>
      </c>
      <c r="F598" s="109" t="s">
        <v>624</v>
      </c>
      <c r="G598" s="296"/>
      <c r="H598" s="112" t="s">
        <v>486</v>
      </c>
      <c r="I598" s="133"/>
      <c r="J598" s="133"/>
      <c r="K598" s="401">
        <f>ROUND((4*40000+4*30000+12*15000+2*10000)/1.1,0)</f>
        <v>436364</v>
      </c>
      <c r="L598" s="402" t="s">
        <v>253</v>
      </c>
      <c r="M598" s="402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6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1008</v>
      </c>
      <c r="E599" s="110">
        <v>42703</v>
      </c>
      <c r="F599" s="109" t="s">
        <v>625</v>
      </c>
      <c r="G599" s="296"/>
      <c r="H599" s="112" t="s">
        <v>486</v>
      </c>
      <c r="I599" s="133"/>
      <c r="J599" s="133"/>
      <c r="K599" s="401">
        <v>43636</v>
      </c>
      <c r="L599" s="402" t="s">
        <v>9</v>
      </c>
      <c r="M599" s="402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63">
        <v>4</v>
      </c>
    </row>
    <row r="600" spans="1:26" ht="15.75" hidden="1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570</v>
      </c>
      <c r="E600" s="110">
        <v>42703</v>
      </c>
      <c r="F600" s="109" t="s">
        <v>689</v>
      </c>
      <c r="G600" s="296" t="s">
        <v>769</v>
      </c>
      <c r="H600" s="4" t="s">
        <v>688</v>
      </c>
      <c r="I600" s="133">
        <v>1020</v>
      </c>
      <c r="J600" s="133">
        <v>5900</v>
      </c>
      <c r="K600" s="13">
        <f>ROUND(I600*J600,0)</f>
        <v>6018000</v>
      </c>
      <c r="L600" s="113" t="s">
        <v>251</v>
      </c>
      <c r="M600" s="402" t="s">
        <v>168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63"/>
    </row>
    <row r="601" spans="1:26" ht="15.75" hidden="1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570</v>
      </c>
      <c r="E601" s="110">
        <v>42703</v>
      </c>
      <c r="F601" s="109" t="s">
        <v>494</v>
      </c>
      <c r="G601" s="296" t="s">
        <v>769</v>
      </c>
      <c r="H601" s="4" t="s">
        <v>688</v>
      </c>
      <c r="I601" s="133"/>
      <c r="J601" s="133"/>
      <c r="K601" s="13">
        <v>601800</v>
      </c>
      <c r="L601" s="113" t="s">
        <v>251</v>
      </c>
      <c r="M601" s="402" t="s">
        <v>350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63"/>
    </row>
    <row r="602" spans="1:26" ht="15.75" hidden="1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571</v>
      </c>
      <c r="E602" s="110">
        <v>42703</v>
      </c>
      <c r="F602" s="109" t="s">
        <v>691</v>
      </c>
      <c r="G602" s="296" t="s">
        <v>770</v>
      </c>
      <c r="H602" s="4" t="s">
        <v>367</v>
      </c>
      <c r="I602" s="133">
        <v>25</v>
      </c>
      <c r="J602" s="133">
        <v>56000</v>
      </c>
      <c r="K602" s="13">
        <f>ROUND(I602*J602,0)</f>
        <v>1400000</v>
      </c>
      <c r="L602" s="113" t="s">
        <v>251</v>
      </c>
      <c r="M602" s="402" t="s">
        <v>168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63"/>
    </row>
    <row r="603" spans="1:26" ht="15.75" hidden="1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571</v>
      </c>
      <c r="E603" s="110">
        <v>42703</v>
      </c>
      <c r="F603" s="109" t="s">
        <v>692</v>
      </c>
      <c r="G603" s="296" t="s">
        <v>770</v>
      </c>
      <c r="H603" s="4" t="s">
        <v>367</v>
      </c>
      <c r="I603" s="133">
        <v>5</v>
      </c>
      <c r="J603" s="133">
        <v>53000</v>
      </c>
      <c r="K603" s="13">
        <f>ROUND(I603*J603,0)</f>
        <v>265000</v>
      </c>
      <c r="L603" s="113" t="s">
        <v>251</v>
      </c>
      <c r="M603" s="402" t="s">
        <v>168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63"/>
    </row>
    <row r="604" spans="1:26" ht="15.75" hidden="1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571</v>
      </c>
      <c r="E604" s="110">
        <v>42703</v>
      </c>
      <c r="F604" s="109" t="s">
        <v>693</v>
      </c>
      <c r="G604" s="296" t="s">
        <v>770</v>
      </c>
      <c r="H604" s="4" t="s">
        <v>367</v>
      </c>
      <c r="I604" s="134">
        <v>100</v>
      </c>
      <c r="J604" s="134">
        <v>30237</v>
      </c>
      <c r="K604" s="13">
        <f>ROUND(I604*J604,0)</f>
        <v>3023700</v>
      </c>
      <c r="L604" s="113" t="s">
        <v>251</v>
      </c>
      <c r="M604" s="402" t="s">
        <v>168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63"/>
    </row>
    <row r="605" spans="1:26" ht="15.75" hidden="1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571</v>
      </c>
      <c r="E605" s="110">
        <v>42703</v>
      </c>
      <c r="F605" s="109" t="s">
        <v>694</v>
      </c>
      <c r="G605" s="296" t="s">
        <v>770</v>
      </c>
      <c r="H605" s="4" t="s">
        <v>367</v>
      </c>
      <c r="I605" s="133">
        <v>12</v>
      </c>
      <c r="J605" s="133">
        <v>75900</v>
      </c>
      <c r="K605" s="13">
        <f>ROUND(I605*J605,0)</f>
        <v>910800</v>
      </c>
      <c r="L605" s="113" t="s">
        <v>251</v>
      </c>
      <c r="M605" s="402" t="s">
        <v>168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63"/>
    </row>
    <row r="606" spans="1:26" ht="15.75" hidden="1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571</v>
      </c>
      <c r="E606" s="110">
        <v>42703</v>
      </c>
      <c r="F606" s="109" t="s">
        <v>494</v>
      </c>
      <c r="G606" s="296" t="s">
        <v>770</v>
      </c>
      <c r="H606" s="4" t="s">
        <v>367</v>
      </c>
      <c r="I606" s="133"/>
      <c r="J606" s="133"/>
      <c r="K606" s="13">
        <v>559950</v>
      </c>
      <c r="L606" s="113" t="s">
        <v>251</v>
      </c>
      <c r="M606" s="402" t="s">
        <v>350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63"/>
    </row>
    <row r="607" spans="1:26" ht="15.75" hidden="1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1010</v>
      </c>
      <c r="E607" s="110">
        <v>42703</v>
      </c>
      <c r="F607" s="111" t="s">
        <v>482</v>
      </c>
      <c r="G607" s="296" t="s">
        <v>770</v>
      </c>
      <c r="H607" s="4" t="s">
        <v>367</v>
      </c>
      <c r="I607" s="133"/>
      <c r="J607" s="133"/>
      <c r="K607" s="13">
        <v>6159450</v>
      </c>
      <c r="L607" s="113" t="s">
        <v>46</v>
      </c>
      <c r="M607" s="402" t="s">
        <v>251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63"/>
    </row>
    <row r="608" spans="1:26" ht="15.75" hidden="1" customHeight="1">
      <c r="A608" s="120" t="str">
        <f>IF(B608&lt;&gt;"",IF(AND(B608&gt;=_TM1,B608&lt;=_TM2,OR(TH!L608="1111",TH!M608="1111")),TH!D608,""),"")</f>
        <v/>
      </c>
      <c r="B608" s="580">
        <f t="shared" si="23"/>
        <v>11</v>
      </c>
      <c r="C608" s="557">
        <f t="shared" si="24"/>
        <v>42704</v>
      </c>
      <c r="D608" s="557" t="s">
        <v>323</v>
      </c>
      <c r="E608" s="557">
        <v>42704</v>
      </c>
      <c r="F608" s="560" t="s">
        <v>819</v>
      </c>
      <c r="G608" s="576"/>
      <c r="H608" s="577"/>
      <c r="I608" s="559"/>
      <c r="J608" s="559"/>
      <c r="K608" s="562">
        <v>4390000</v>
      </c>
      <c r="L608" s="578" t="s">
        <v>82</v>
      </c>
      <c r="M608" s="578" t="s">
        <v>254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79"/>
    </row>
    <row r="609" spans="1:26" ht="15.75" hidden="1" customHeight="1">
      <c r="A609" s="120" t="str">
        <f>IF(B609&lt;&gt;"",IF(AND(B609&gt;=_TM1,B609&lt;=_TM2,OR(TH!L609="1111",TH!M609="1111")),TH!D609,""),"")</f>
        <v/>
      </c>
      <c r="B609" s="580">
        <f t="shared" si="23"/>
        <v>11</v>
      </c>
      <c r="C609" s="557">
        <f t="shared" si="24"/>
        <v>42704</v>
      </c>
      <c r="D609" s="557" t="s">
        <v>323</v>
      </c>
      <c r="E609" s="557">
        <v>42704</v>
      </c>
      <c r="F609" s="560" t="s">
        <v>820</v>
      </c>
      <c r="G609" s="576"/>
      <c r="H609" s="577"/>
      <c r="I609" s="559"/>
      <c r="J609" s="559"/>
      <c r="K609" s="562">
        <v>13960000</v>
      </c>
      <c r="L609" s="578" t="s">
        <v>159</v>
      </c>
      <c r="M609" s="578" t="s">
        <v>254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79"/>
    </row>
    <row r="610" spans="1:26" ht="15.75" hidden="1" customHeight="1">
      <c r="A610" s="120" t="str">
        <f>IF(B610&lt;&gt;"",IF(AND(B610&gt;=_TM1,B610&lt;=_TM2,OR(TH!L610="1111",TH!M610="1111")),TH!D610,""),"")</f>
        <v>C23</v>
      </c>
      <c r="B610" s="580">
        <f t="shared" si="23"/>
        <v>11</v>
      </c>
      <c r="C610" s="557">
        <f t="shared" si="24"/>
        <v>42704</v>
      </c>
      <c r="D610" s="557" t="s">
        <v>1011</v>
      </c>
      <c r="E610" s="557">
        <v>42704</v>
      </c>
      <c r="F610" s="560" t="str">
        <f>"Thanh toán tiền lương tháng "&amp;MONTH(E610)&amp;"/"&amp;YEAR(E610)</f>
        <v>Thanh toán tiền lương tháng 11/2016</v>
      </c>
      <c r="G610" s="576"/>
      <c r="H610" s="577" t="s">
        <v>794</v>
      </c>
      <c r="I610" s="559"/>
      <c r="J610" s="559"/>
      <c r="K610" s="562">
        <f>K608+K609</f>
        <v>18350000</v>
      </c>
      <c r="L610" s="578" t="s">
        <v>254</v>
      </c>
      <c r="M610" s="57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79"/>
    </row>
    <row r="611" spans="1:26" ht="15.75" hidden="1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572</v>
      </c>
      <c r="E611" s="110">
        <v>42705</v>
      </c>
      <c r="F611" s="109" t="s">
        <v>811</v>
      </c>
      <c r="G611" s="296" t="s">
        <v>774</v>
      </c>
      <c r="H611" s="4" t="s">
        <v>812</v>
      </c>
      <c r="I611" s="133">
        <v>2400</v>
      </c>
      <c r="J611" s="133">
        <v>7500</v>
      </c>
      <c r="K611" s="13">
        <f>ROUND(I611*J611,0)</f>
        <v>18000000</v>
      </c>
      <c r="L611" s="113" t="s">
        <v>251</v>
      </c>
      <c r="M611" s="402" t="s">
        <v>168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63"/>
    </row>
    <row r="612" spans="1:26" ht="15.75" hidden="1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572</v>
      </c>
      <c r="E612" s="110">
        <v>42705</v>
      </c>
      <c r="F612" s="109" t="s">
        <v>494</v>
      </c>
      <c r="G612" s="296" t="s">
        <v>774</v>
      </c>
      <c r="H612" s="4" t="s">
        <v>812</v>
      </c>
      <c r="I612" s="133"/>
      <c r="J612" s="133"/>
      <c r="K612" s="13">
        <v>1800000</v>
      </c>
      <c r="L612" s="113" t="s">
        <v>251</v>
      </c>
      <c r="M612" s="402" t="s">
        <v>350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63"/>
    </row>
    <row r="613" spans="1:26" ht="15.75" hidden="1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1014</v>
      </c>
      <c r="E613" s="110">
        <v>42705</v>
      </c>
      <c r="F613" s="111" t="s">
        <v>482</v>
      </c>
      <c r="G613" s="296" t="s">
        <v>774</v>
      </c>
      <c r="H613" s="4" t="s">
        <v>812</v>
      </c>
      <c r="I613" s="133"/>
      <c r="J613" s="133"/>
      <c r="K613" s="13">
        <v>19800000</v>
      </c>
      <c r="L613" s="113" t="s">
        <v>46</v>
      </c>
      <c r="M613" s="402" t="s">
        <v>251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63"/>
    </row>
    <row r="614" spans="1:26" ht="15.75" hidden="1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573</v>
      </c>
      <c r="E614" s="110">
        <v>42706</v>
      </c>
      <c r="F614" s="109" t="s">
        <v>811</v>
      </c>
      <c r="G614" s="296" t="s">
        <v>822</v>
      </c>
      <c r="H614" s="4" t="s">
        <v>812</v>
      </c>
      <c r="I614" s="133">
        <v>1600</v>
      </c>
      <c r="J614" s="133">
        <v>7500</v>
      </c>
      <c r="K614" s="13">
        <f>ROUND(I614*J614,0)</f>
        <v>12000000</v>
      </c>
      <c r="L614" s="113" t="s">
        <v>251</v>
      </c>
      <c r="M614" s="402" t="s">
        <v>168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63"/>
    </row>
    <row r="615" spans="1:26" ht="15.75" hidden="1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573</v>
      </c>
      <c r="E615" s="110">
        <v>42706</v>
      </c>
      <c r="F615" s="109" t="s">
        <v>494</v>
      </c>
      <c r="G615" s="296" t="s">
        <v>822</v>
      </c>
      <c r="H615" s="4" t="s">
        <v>812</v>
      </c>
      <c r="I615" s="133"/>
      <c r="J615" s="133"/>
      <c r="K615" s="13">
        <v>1200000</v>
      </c>
      <c r="L615" s="113" t="s">
        <v>251</v>
      </c>
      <c r="M615" s="402" t="s">
        <v>350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63"/>
    </row>
    <row r="616" spans="1:26" ht="15.75" hidden="1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1015</v>
      </c>
      <c r="E616" s="110">
        <v>42706</v>
      </c>
      <c r="F616" s="111" t="s">
        <v>482</v>
      </c>
      <c r="G616" s="296" t="s">
        <v>822</v>
      </c>
      <c r="H616" s="4" t="s">
        <v>812</v>
      </c>
      <c r="I616" s="134"/>
      <c r="J616" s="134"/>
      <c r="K616" s="13">
        <v>13200000</v>
      </c>
      <c r="L616" s="113" t="s">
        <v>46</v>
      </c>
      <c r="M616" s="402" t="s">
        <v>251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63"/>
    </row>
    <row r="617" spans="1:26" ht="15.75" hidden="1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574</v>
      </c>
      <c r="E617" s="110">
        <v>42707</v>
      </c>
      <c r="F617" s="109" t="s">
        <v>811</v>
      </c>
      <c r="G617" s="296" t="s">
        <v>823</v>
      </c>
      <c r="H617" s="4" t="s">
        <v>812</v>
      </c>
      <c r="I617" s="133">
        <v>4000</v>
      </c>
      <c r="J617" s="133">
        <v>4500</v>
      </c>
      <c r="K617" s="13">
        <f>ROUND(I617*J617,0)</f>
        <v>18000000</v>
      </c>
      <c r="L617" s="113" t="s">
        <v>251</v>
      </c>
      <c r="M617" s="402" t="s">
        <v>168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63"/>
    </row>
    <row r="618" spans="1:26" ht="15.75" hidden="1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574</v>
      </c>
      <c r="E618" s="110">
        <v>42707</v>
      </c>
      <c r="F618" s="109" t="s">
        <v>494</v>
      </c>
      <c r="G618" s="296" t="s">
        <v>823</v>
      </c>
      <c r="H618" s="4" t="s">
        <v>812</v>
      </c>
      <c r="I618" s="133"/>
      <c r="J618" s="133"/>
      <c r="K618" s="13">
        <v>1800000</v>
      </c>
      <c r="L618" s="113" t="s">
        <v>251</v>
      </c>
      <c r="M618" s="402" t="s">
        <v>350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63"/>
    </row>
    <row r="619" spans="1:26" ht="15.75" hidden="1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1016</v>
      </c>
      <c r="E619" s="110">
        <v>42707</v>
      </c>
      <c r="F619" s="111" t="s">
        <v>482</v>
      </c>
      <c r="G619" s="296" t="s">
        <v>823</v>
      </c>
      <c r="H619" s="4" t="s">
        <v>812</v>
      </c>
      <c r="I619" s="133"/>
      <c r="J619" s="133"/>
      <c r="K619" s="13">
        <v>19800000</v>
      </c>
      <c r="L619" s="113" t="s">
        <v>46</v>
      </c>
      <c r="M619" s="402" t="s">
        <v>251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63"/>
    </row>
    <row r="620" spans="1:26" ht="15.75" hidden="1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575</v>
      </c>
      <c r="E620" s="110">
        <v>42708</v>
      </c>
      <c r="F620" s="111" t="s">
        <v>825</v>
      </c>
      <c r="G620" s="296" t="s">
        <v>824</v>
      </c>
      <c r="H620" s="125" t="s">
        <v>681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251</v>
      </c>
      <c r="M620" s="402" t="s">
        <v>168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63"/>
    </row>
    <row r="621" spans="1:26" ht="15.75" hidden="1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575</v>
      </c>
      <c r="E621" s="110">
        <v>42708</v>
      </c>
      <c r="F621" s="111" t="s">
        <v>826</v>
      </c>
      <c r="G621" s="296" t="s">
        <v>824</v>
      </c>
      <c r="H621" s="125" t="s">
        <v>681</v>
      </c>
      <c r="I621" s="133">
        <v>878</v>
      </c>
      <c r="J621" s="133">
        <v>19400</v>
      </c>
      <c r="K621" s="13">
        <f>ROUND(I621*J621,0)</f>
        <v>17033200</v>
      </c>
      <c r="L621" s="113" t="s">
        <v>251</v>
      </c>
      <c r="M621" s="402" t="s">
        <v>168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63"/>
    </row>
    <row r="622" spans="1:26" ht="15.75" hidden="1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575</v>
      </c>
      <c r="E622" s="110">
        <v>42708</v>
      </c>
      <c r="F622" s="109" t="s">
        <v>494</v>
      </c>
      <c r="G622" s="296" t="s">
        <v>824</v>
      </c>
      <c r="H622" s="125" t="s">
        <v>681</v>
      </c>
      <c r="I622" s="133"/>
      <c r="J622" s="133"/>
      <c r="K622" s="13">
        <v>11980500</v>
      </c>
      <c r="L622" s="113" t="s">
        <v>251</v>
      </c>
      <c r="M622" s="402" t="s">
        <v>350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63"/>
    </row>
    <row r="623" spans="1:26" ht="15.75" hidden="1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1017</v>
      </c>
      <c r="E623" s="110">
        <v>42709</v>
      </c>
      <c r="F623" s="111" t="s">
        <v>482</v>
      </c>
      <c r="G623" s="296" t="s">
        <v>1025</v>
      </c>
      <c r="H623" s="4" t="s">
        <v>364</v>
      </c>
      <c r="I623" s="133"/>
      <c r="J623" s="133"/>
      <c r="K623" s="13">
        <f>4094640+3465000</f>
        <v>7559640</v>
      </c>
      <c r="L623" s="113" t="s">
        <v>46</v>
      </c>
      <c r="M623" s="402" t="s">
        <v>251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63"/>
    </row>
    <row r="624" spans="1:26" ht="15.75" hidden="1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1018</v>
      </c>
      <c r="E624" s="110">
        <v>42709</v>
      </c>
      <c r="F624" s="111" t="s">
        <v>482</v>
      </c>
      <c r="G624" s="296" t="s">
        <v>804</v>
      </c>
      <c r="H624" s="4" t="s">
        <v>616</v>
      </c>
      <c r="I624" s="133"/>
      <c r="J624" s="133"/>
      <c r="K624" s="13">
        <v>4601300</v>
      </c>
      <c r="L624" s="113" t="s">
        <v>46</v>
      </c>
      <c r="M624" s="402" t="s">
        <v>251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63"/>
    </row>
    <row r="625" spans="1:26" ht="15.75" hidden="1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323</v>
      </c>
      <c r="E625" s="110">
        <v>42709</v>
      </c>
      <c r="F625" s="109" t="s">
        <v>974</v>
      </c>
      <c r="G625" s="298" t="s">
        <v>841</v>
      </c>
      <c r="H625" s="112" t="s">
        <v>622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63">
        <v>4</v>
      </c>
    </row>
    <row r="626" spans="1:26" ht="15.75" hidden="1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323</v>
      </c>
      <c r="E626" s="110">
        <v>42709</v>
      </c>
      <c r="F626" s="109" t="s">
        <v>433</v>
      </c>
      <c r="G626" s="298" t="s">
        <v>841</v>
      </c>
      <c r="H626" s="112" t="s">
        <v>622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63">
        <v>4</v>
      </c>
    </row>
    <row r="627" spans="1:26" ht="15.75" hidden="1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576</v>
      </c>
      <c r="E627" s="110">
        <v>42709</v>
      </c>
      <c r="F627" s="109" t="s">
        <v>811</v>
      </c>
      <c r="G627" s="296" t="s">
        <v>827</v>
      </c>
      <c r="H627" s="4" t="s">
        <v>812</v>
      </c>
      <c r="I627" s="133">
        <v>2400</v>
      </c>
      <c r="J627" s="133">
        <v>7500</v>
      </c>
      <c r="K627" s="13">
        <f>ROUND(I627*J627,0)</f>
        <v>18000000</v>
      </c>
      <c r="L627" s="113" t="s">
        <v>251</v>
      </c>
      <c r="M627" s="402" t="s">
        <v>168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63"/>
    </row>
    <row r="628" spans="1:26" ht="15.75" hidden="1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576</v>
      </c>
      <c r="E628" s="110">
        <v>42709</v>
      </c>
      <c r="F628" s="109" t="s">
        <v>494</v>
      </c>
      <c r="G628" s="296" t="s">
        <v>827</v>
      </c>
      <c r="H628" s="4" t="s">
        <v>812</v>
      </c>
      <c r="I628" s="133"/>
      <c r="J628" s="133"/>
      <c r="K628" s="13">
        <v>1800000</v>
      </c>
      <c r="L628" s="113" t="s">
        <v>251</v>
      </c>
      <c r="M628" s="402" t="s">
        <v>350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63"/>
    </row>
    <row r="629" spans="1:26" ht="15.75" hidden="1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1032</v>
      </c>
      <c r="E629" s="110">
        <v>42709</v>
      </c>
      <c r="F629" s="111" t="s">
        <v>482</v>
      </c>
      <c r="G629" s="296" t="s">
        <v>827</v>
      </c>
      <c r="H629" s="4" t="s">
        <v>812</v>
      </c>
      <c r="I629" s="134"/>
      <c r="J629" s="134"/>
      <c r="K629" s="13">
        <v>19800000</v>
      </c>
      <c r="L629" s="113" t="s">
        <v>46</v>
      </c>
      <c r="M629" s="402" t="s">
        <v>251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63"/>
    </row>
    <row r="630" spans="1:26" ht="15.75" hidden="1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577</v>
      </c>
      <c r="E630" s="110">
        <v>42710</v>
      </c>
      <c r="F630" s="109" t="s">
        <v>811</v>
      </c>
      <c r="G630" s="296" t="s">
        <v>828</v>
      </c>
      <c r="H630" s="4" t="s">
        <v>812</v>
      </c>
      <c r="I630" s="133">
        <v>2400</v>
      </c>
      <c r="J630" s="133">
        <v>7500</v>
      </c>
      <c r="K630" s="13">
        <f>ROUND(I630*J630,0)</f>
        <v>18000000</v>
      </c>
      <c r="L630" s="113" t="s">
        <v>251</v>
      </c>
      <c r="M630" s="402" t="s">
        <v>168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63"/>
    </row>
    <row r="631" spans="1:26" ht="15.75" hidden="1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577</v>
      </c>
      <c r="E631" s="110">
        <v>42710</v>
      </c>
      <c r="F631" s="109" t="s">
        <v>494</v>
      </c>
      <c r="G631" s="296" t="s">
        <v>828</v>
      </c>
      <c r="H631" s="4" t="s">
        <v>812</v>
      </c>
      <c r="I631" s="133"/>
      <c r="J631" s="133"/>
      <c r="K631" s="13">
        <v>1800000</v>
      </c>
      <c r="L631" s="113" t="s">
        <v>251</v>
      </c>
      <c r="M631" s="402" t="s">
        <v>350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63"/>
    </row>
    <row r="632" spans="1:26" ht="15.75" hidden="1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1033</v>
      </c>
      <c r="E632" s="110">
        <v>42710</v>
      </c>
      <c r="F632" s="111" t="s">
        <v>482</v>
      </c>
      <c r="G632" s="296" t="s">
        <v>828</v>
      </c>
      <c r="H632" s="4" t="s">
        <v>812</v>
      </c>
      <c r="I632" s="134"/>
      <c r="J632" s="134"/>
      <c r="K632" s="13">
        <v>19800000</v>
      </c>
      <c r="L632" s="113" t="s">
        <v>46</v>
      </c>
      <c r="M632" s="402" t="s">
        <v>251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63"/>
    </row>
    <row r="633" spans="1:26" ht="15.75" hidden="1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947</v>
      </c>
      <c r="E633" s="105">
        <v>42712</v>
      </c>
      <c r="F633" s="109" t="s">
        <v>442</v>
      </c>
      <c r="G633" s="296" t="s">
        <v>941</v>
      </c>
      <c r="H633" s="112" t="s">
        <v>440</v>
      </c>
      <c r="I633" s="133">
        <v>19820</v>
      </c>
      <c r="J633" s="133">
        <v>800</v>
      </c>
      <c r="K633" s="13">
        <f>ROUND(I633*J633,0)</f>
        <v>15856000</v>
      </c>
      <c r="L633" s="113" t="s">
        <v>155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63">
        <v>4</v>
      </c>
    </row>
    <row r="634" spans="1:26" ht="15.75" hidden="1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947</v>
      </c>
      <c r="E634" s="105">
        <v>42712</v>
      </c>
      <c r="F634" s="109" t="s">
        <v>443</v>
      </c>
      <c r="G634" s="296" t="s">
        <v>941</v>
      </c>
      <c r="H634" s="112" t="s">
        <v>440</v>
      </c>
      <c r="I634" s="133"/>
      <c r="J634" s="133"/>
      <c r="K634" s="401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6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1012</v>
      </c>
      <c r="E635" s="105">
        <v>42712</v>
      </c>
      <c r="F635" s="109" t="s">
        <v>463</v>
      </c>
      <c r="G635" s="296" t="s">
        <v>941</v>
      </c>
      <c r="H635" s="112" t="s">
        <v>440</v>
      </c>
      <c r="I635" s="133"/>
      <c r="J635" s="133"/>
      <c r="K635" s="401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63"/>
    </row>
    <row r="636" spans="1:26" ht="15.75" hidden="1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467</v>
      </c>
      <c r="E636" s="110">
        <v>42713</v>
      </c>
      <c r="F636" s="109" t="s">
        <v>482</v>
      </c>
      <c r="G636" s="111" t="s">
        <v>472</v>
      </c>
      <c r="H636" s="4" t="s">
        <v>829</v>
      </c>
      <c r="I636" s="133"/>
      <c r="J636" s="135"/>
      <c r="K636" s="13">
        <v>15576000</v>
      </c>
      <c r="L636" s="113" t="s">
        <v>24</v>
      </c>
      <c r="M636" s="402" t="s">
        <v>251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63"/>
    </row>
    <row r="637" spans="1:26" ht="15.75" hidden="1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578</v>
      </c>
      <c r="E637" s="110">
        <v>42713</v>
      </c>
      <c r="F637" s="109" t="s">
        <v>831</v>
      </c>
      <c r="G637" s="296" t="s">
        <v>830</v>
      </c>
      <c r="H637" s="125" t="s">
        <v>829</v>
      </c>
      <c r="I637" s="133">
        <v>400</v>
      </c>
      <c r="J637" s="133">
        <v>13400</v>
      </c>
      <c r="K637" s="13">
        <f>ROUND(I637*J637,0)</f>
        <v>5360000</v>
      </c>
      <c r="L637" s="113" t="s">
        <v>251</v>
      </c>
      <c r="M637" s="402" t="s">
        <v>168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63"/>
    </row>
    <row r="638" spans="1:26" ht="15.75" hidden="1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578</v>
      </c>
      <c r="E638" s="110">
        <v>42713</v>
      </c>
      <c r="F638" s="109" t="s">
        <v>832</v>
      </c>
      <c r="G638" s="296" t="s">
        <v>830</v>
      </c>
      <c r="H638" s="125" t="s">
        <v>829</v>
      </c>
      <c r="I638" s="133">
        <v>4000</v>
      </c>
      <c r="J638" s="133">
        <v>2200</v>
      </c>
      <c r="K638" s="13">
        <f>ROUND(I638*J638,0)</f>
        <v>8800000</v>
      </c>
      <c r="L638" s="113" t="s">
        <v>251</v>
      </c>
      <c r="M638" s="402" t="s">
        <v>168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63"/>
    </row>
    <row r="639" spans="1:26" ht="15.75" hidden="1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578</v>
      </c>
      <c r="E639" s="110">
        <v>42713</v>
      </c>
      <c r="F639" s="109" t="s">
        <v>494</v>
      </c>
      <c r="G639" s="296" t="s">
        <v>830</v>
      </c>
      <c r="H639" s="125" t="s">
        <v>829</v>
      </c>
      <c r="I639" s="134"/>
      <c r="J639" s="134"/>
      <c r="K639" s="13">
        <v>1416000</v>
      </c>
      <c r="L639" s="113" t="s">
        <v>251</v>
      </c>
      <c r="M639" s="402" t="s">
        <v>350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63"/>
    </row>
    <row r="640" spans="1:26" ht="15.75" hidden="1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579</v>
      </c>
      <c r="E640" s="110">
        <v>42713</v>
      </c>
      <c r="F640" s="111" t="s">
        <v>826</v>
      </c>
      <c r="G640" s="296" t="s">
        <v>439</v>
      </c>
      <c r="H640" s="125" t="s">
        <v>681</v>
      </c>
      <c r="I640" s="133">
        <v>5240</v>
      </c>
      <c r="J640" s="133">
        <v>13800</v>
      </c>
      <c r="K640" s="13">
        <f>ROUND(I640*J640,0)</f>
        <v>72312000</v>
      </c>
      <c r="L640" s="113" t="s">
        <v>251</v>
      </c>
      <c r="M640" s="402" t="s">
        <v>168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63"/>
    </row>
    <row r="641" spans="1:26" ht="15.75" hidden="1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579</v>
      </c>
      <c r="E641" s="110">
        <v>42713</v>
      </c>
      <c r="F641" s="109" t="s">
        <v>494</v>
      </c>
      <c r="G641" s="296" t="s">
        <v>439</v>
      </c>
      <c r="H641" s="125" t="s">
        <v>681</v>
      </c>
      <c r="I641" s="133"/>
      <c r="J641" s="133"/>
      <c r="K641" s="13">
        <v>7231200</v>
      </c>
      <c r="L641" s="113" t="s">
        <v>251</v>
      </c>
      <c r="M641" s="402" t="s">
        <v>350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63"/>
    </row>
    <row r="642" spans="1:26" ht="15.75" hidden="1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580</v>
      </c>
      <c r="E642" s="110">
        <v>42713</v>
      </c>
      <c r="F642" s="111" t="s">
        <v>835</v>
      </c>
      <c r="G642" s="296" t="s">
        <v>834</v>
      </c>
      <c r="H642" s="125" t="s">
        <v>833</v>
      </c>
      <c r="I642" s="133">
        <v>91</v>
      </c>
      <c r="J642" s="133">
        <v>27000</v>
      </c>
      <c r="K642" s="13">
        <f>ROUND(I642*J642,0)</f>
        <v>2457000</v>
      </c>
      <c r="L642" s="113" t="s">
        <v>251</v>
      </c>
      <c r="M642" s="402" t="s">
        <v>168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63"/>
    </row>
    <row r="643" spans="1:26" ht="15.75" hidden="1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580</v>
      </c>
      <c r="E643" s="110">
        <v>42713</v>
      </c>
      <c r="F643" s="111" t="s">
        <v>836</v>
      </c>
      <c r="G643" s="296" t="s">
        <v>834</v>
      </c>
      <c r="H643" s="125" t="s">
        <v>833</v>
      </c>
      <c r="I643" s="133">
        <v>300</v>
      </c>
      <c r="J643" s="133">
        <v>6700</v>
      </c>
      <c r="K643" s="13">
        <f>ROUND(I643*J643,0)</f>
        <v>2010000</v>
      </c>
      <c r="L643" s="113" t="s">
        <v>251</v>
      </c>
      <c r="M643" s="402" t="s">
        <v>168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63"/>
    </row>
    <row r="644" spans="1:26" ht="15.75" hidden="1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580</v>
      </c>
      <c r="E644" s="110">
        <v>42713</v>
      </c>
      <c r="F644" s="109" t="s">
        <v>494</v>
      </c>
      <c r="G644" s="296" t="s">
        <v>834</v>
      </c>
      <c r="H644" s="125" t="s">
        <v>833</v>
      </c>
      <c r="I644" s="133"/>
      <c r="J644" s="133"/>
      <c r="K644" s="13">
        <v>446700</v>
      </c>
      <c r="L644" s="113" t="s">
        <v>251</v>
      </c>
      <c r="M644" s="402" t="s">
        <v>350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63"/>
    </row>
    <row r="645" spans="1:26" ht="15.75" hidden="1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581</v>
      </c>
      <c r="E645" s="110">
        <v>42713</v>
      </c>
      <c r="F645" s="109" t="s">
        <v>811</v>
      </c>
      <c r="G645" s="296" t="s">
        <v>837</v>
      </c>
      <c r="H645" s="4" t="s">
        <v>812</v>
      </c>
      <c r="I645" s="133">
        <v>2400</v>
      </c>
      <c r="J645" s="133">
        <v>7500</v>
      </c>
      <c r="K645" s="13">
        <f>ROUND(I645*J645,0)</f>
        <v>18000000</v>
      </c>
      <c r="L645" s="113" t="s">
        <v>251</v>
      </c>
      <c r="M645" s="402" t="s">
        <v>168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63"/>
    </row>
    <row r="646" spans="1:26" ht="15.75" hidden="1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581</v>
      </c>
      <c r="E646" s="110">
        <v>42713</v>
      </c>
      <c r="F646" s="109" t="s">
        <v>494</v>
      </c>
      <c r="G646" s="296" t="s">
        <v>837</v>
      </c>
      <c r="H646" s="4" t="s">
        <v>812</v>
      </c>
      <c r="I646" s="133"/>
      <c r="J646" s="133"/>
      <c r="K646" s="13">
        <v>1800000</v>
      </c>
      <c r="L646" s="113" t="s">
        <v>251</v>
      </c>
      <c r="M646" s="402" t="s">
        <v>350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63"/>
    </row>
    <row r="647" spans="1:26" ht="15.75" hidden="1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1034</v>
      </c>
      <c r="E647" s="110">
        <v>42713</v>
      </c>
      <c r="F647" s="111" t="s">
        <v>482</v>
      </c>
      <c r="G647" s="296" t="s">
        <v>837</v>
      </c>
      <c r="H647" s="4" t="s">
        <v>812</v>
      </c>
      <c r="I647" s="134"/>
      <c r="J647" s="134"/>
      <c r="K647" s="13">
        <v>19800000</v>
      </c>
      <c r="L647" s="113" t="s">
        <v>46</v>
      </c>
      <c r="M647" s="402" t="s">
        <v>251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63"/>
    </row>
    <row r="648" spans="1:26" ht="15.75" hidden="1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582</v>
      </c>
      <c r="E648" s="110">
        <v>42714</v>
      </c>
      <c r="F648" s="109" t="s">
        <v>811</v>
      </c>
      <c r="G648" s="296" t="s">
        <v>838</v>
      </c>
      <c r="H648" s="4" t="s">
        <v>812</v>
      </c>
      <c r="I648" s="133">
        <v>2400</v>
      </c>
      <c r="J648" s="133">
        <v>7500</v>
      </c>
      <c r="K648" s="13">
        <f>ROUND(I648*J648,0)</f>
        <v>18000000</v>
      </c>
      <c r="L648" s="113" t="s">
        <v>251</v>
      </c>
      <c r="M648" s="402" t="s">
        <v>168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63"/>
    </row>
    <row r="649" spans="1:26" ht="15.75" hidden="1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582</v>
      </c>
      <c r="E649" s="110">
        <v>42714</v>
      </c>
      <c r="F649" s="109" t="s">
        <v>494</v>
      </c>
      <c r="G649" s="296" t="s">
        <v>838</v>
      </c>
      <c r="H649" s="4" t="s">
        <v>812</v>
      </c>
      <c r="I649" s="133"/>
      <c r="J649" s="133"/>
      <c r="K649" s="13">
        <v>1800000</v>
      </c>
      <c r="L649" s="113" t="s">
        <v>251</v>
      </c>
      <c r="M649" s="402" t="s">
        <v>350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63"/>
    </row>
    <row r="650" spans="1:26" ht="15.75" hidden="1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1035</v>
      </c>
      <c r="E650" s="110">
        <v>42714</v>
      </c>
      <c r="F650" s="111" t="s">
        <v>482</v>
      </c>
      <c r="G650" s="296" t="s">
        <v>838</v>
      </c>
      <c r="H650" s="4" t="s">
        <v>812</v>
      </c>
      <c r="I650" s="134"/>
      <c r="J650" s="134"/>
      <c r="K650" s="13">
        <v>19800000</v>
      </c>
      <c r="L650" s="113" t="s">
        <v>46</v>
      </c>
      <c r="M650" s="402" t="s">
        <v>251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63"/>
    </row>
    <row r="651" spans="1:26" ht="15.75" hidden="1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583</v>
      </c>
      <c r="E651" s="110">
        <v>42715</v>
      </c>
      <c r="F651" s="109" t="s">
        <v>811</v>
      </c>
      <c r="G651" s="296" t="s">
        <v>839</v>
      </c>
      <c r="H651" s="4" t="s">
        <v>812</v>
      </c>
      <c r="I651" s="133">
        <v>2400</v>
      </c>
      <c r="J651" s="133">
        <v>7500</v>
      </c>
      <c r="K651" s="13">
        <f>ROUND(I651*J651,0)</f>
        <v>18000000</v>
      </c>
      <c r="L651" s="113" t="s">
        <v>251</v>
      </c>
      <c r="M651" s="402" t="s">
        <v>168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63"/>
    </row>
    <row r="652" spans="1:26" ht="15.75" hidden="1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583</v>
      </c>
      <c r="E652" s="110">
        <v>42715</v>
      </c>
      <c r="F652" s="109" t="s">
        <v>494</v>
      </c>
      <c r="G652" s="296" t="s">
        <v>839</v>
      </c>
      <c r="H652" s="4" t="s">
        <v>812</v>
      </c>
      <c r="I652" s="133"/>
      <c r="J652" s="133"/>
      <c r="K652" s="13">
        <v>1800000</v>
      </c>
      <c r="L652" s="113" t="s">
        <v>251</v>
      </c>
      <c r="M652" s="402" t="s">
        <v>350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63"/>
    </row>
    <row r="653" spans="1:26" ht="15.75" hidden="1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1036</v>
      </c>
      <c r="E653" s="110">
        <v>42715</v>
      </c>
      <c r="F653" s="111" t="s">
        <v>482</v>
      </c>
      <c r="G653" s="296" t="s">
        <v>839</v>
      </c>
      <c r="H653" s="4" t="s">
        <v>812</v>
      </c>
      <c r="I653" s="134"/>
      <c r="J653" s="134"/>
      <c r="K653" s="13">
        <v>19800000</v>
      </c>
      <c r="L653" s="113" t="s">
        <v>46</v>
      </c>
      <c r="M653" s="402" t="s">
        <v>251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63"/>
    </row>
    <row r="654" spans="1:26" ht="15.75" hidden="1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1013</v>
      </c>
      <c r="E654" s="110">
        <v>42716</v>
      </c>
      <c r="F654" s="109" t="s">
        <v>469</v>
      </c>
      <c r="G654" s="111" t="s">
        <v>472</v>
      </c>
      <c r="H654" s="112" t="s">
        <v>486</v>
      </c>
      <c r="I654" s="133"/>
      <c r="J654" s="135"/>
      <c r="K654" s="13">
        <v>4500000</v>
      </c>
      <c r="L654" s="113" t="s">
        <v>24</v>
      </c>
      <c r="M654" s="402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6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468</v>
      </c>
      <c r="E655" s="110">
        <v>42716</v>
      </c>
      <c r="F655" s="111" t="s">
        <v>463</v>
      </c>
      <c r="G655" s="111" t="s">
        <v>472</v>
      </c>
      <c r="H655" s="598" t="s">
        <v>1075</v>
      </c>
      <c r="I655" s="133"/>
      <c r="J655" s="135"/>
      <c r="K655" s="13">
        <v>20000000</v>
      </c>
      <c r="L655" s="113" t="s">
        <v>8</v>
      </c>
      <c r="M655" s="402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6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468</v>
      </c>
      <c r="E656" s="110">
        <v>42716</v>
      </c>
      <c r="F656" s="111" t="s">
        <v>484</v>
      </c>
      <c r="G656" s="111" t="s">
        <v>472</v>
      </c>
      <c r="H656" s="112"/>
      <c r="I656" s="133"/>
      <c r="J656" s="135"/>
      <c r="K656" s="13">
        <v>20000</v>
      </c>
      <c r="L656" s="113" t="s">
        <v>82</v>
      </c>
      <c r="M656" s="402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6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468</v>
      </c>
      <c r="E657" s="110">
        <v>42716</v>
      </c>
      <c r="F657" s="111" t="s">
        <v>485</v>
      </c>
      <c r="G657" s="111" t="s">
        <v>472</v>
      </c>
      <c r="H657" s="112"/>
      <c r="I657" s="133"/>
      <c r="J657" s="135"/>
      <c r="K657" s="13">
        <v>2000</v>
      </c>
      <c r="L657" s="113" t="s">
        <v>9</v>
      </c>
      <c r="M657" s="402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63">
        <v>4</v>
      </c>
    </row>
    <row r="658" spans="1:26" ht="15.75" hidden="1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584</v>
      </c>
      <c r="E658" s="110">
        <v>42716</v>
      </c>
      <c r="F658" s="109" t="s">
        <v>811</v>
      </c>
      <c r="G658" s="296" t="s">
        <v>840</v>
      </c>
      <c r="H658" s="4" t="s">
        <v>812</v>
      </c>
      <c r="I658" s="133">
        <v>2400</v>
      </c>
      <c r="J658" s="133">
        <v>7500</v>
      </c>
      <c r="K658" s="13">
        <f>ROUND(I658*J658,0)</f>
        <v>18000000</v>
      </c>
      <c r="L658" s="113" t="s">
        <v>251</v>
      </c>
      <c r="M658" s="402" t="s">
        <v>168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63"/>
    </row>
    <row r="659" spans="1:26" ht="15.75" hidden="1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584</v>
      </c>
      <c r="E659" s="110">
        <v>42716</v>
      </c>
      <c r="F659" s="109" t="s">
        <v>494</v>
      </c>
      <c r="G659" s="296" t="s">
        <v>840</v>
      </c>
      <c r="H659" s="4" t="s">
        <v>812</v>
      </c>
      <c r="I659" s="133"/>
      <c r="J659" s="133"/>
      <c r="K659" s="13">
        <v>1800000</v>
      </c>
      <c r="L659" s="113" t="s">
        <v>251</v>
      </c>
      <c r="M659" s="402" t="s">
        <v>350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63"/>
    </row>
    <row r="660" spans="1:26" ht="15.75" hidden="1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1037</v>
      </c>
      <c r="E660" s="110">
        <v>42716</v>
      </c>
      <c r="F660" s="111" t="s">
        <v>482</v>
      </c>
      <c r="G660" s="296" t="s">
        <v>840</v>
      </c>
      <c r="H660" s="4" t="s">
        <v>812</v>
      </c>
      <c r="I660" s="134"/>
      <c r="J660" s="134"/>
      <c r="K660" s="13">
        <v>19800000</v>
      </c>
      <c r="L660" s="113" t="s">
        <v>46</v>
      </c>
      <c r="M660" s="402" t="s">
        <v>251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63"/>
    </row>
    <row r="661" spans="1:26" ht="15.75" hidden="1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585</v>
      </c>
      <c r="E661" s="110">
        <v>42716</v>
      </c>
      <c r="F661" s="111" t="s">
        <v>662</v>
      </c>
      <c r="G661" s="298" t="s">
        <v>880</v>
      </c>
      <c r="H661" s="4" t="s">
        <v>616</v>
      </c>
      <c r="I661" s="134">
        <v>332</v>
      </c>
      <c r="J661" s="134">
        <v>9400</v>
      </c>
      <c r="K661" s="13">
        <f>ROUND(I661*J661,0)</f>
        <v>3120800</v>
      </c>
      <c r="L661" s="113" t="s">
        <v>251</v>
      </c>
      <c r="M661" s="402" t="s">
        <v>168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63"/>
    </row>
    <row r="662" spans="1:26" ht="15.75" hidden="1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585</v>
      </c>
      <c r="E662" s="110">
        <v>42716</v>
      </c>
      <c r="F662" s="111" t="s">
        <v>509</v>
      </c>
      <c r="G662" s="298" t="s">
        <v>880</v>
      </c>
      <c r="H662" s="4" t="s">
        <v>616</v>
      </c>
      <c r="I662" s="133">
        <v>104</v>
      </c>
      <c r="J662" s="133">
        <v>12900</v>
      </c>
      <c r="K662" s="13">
        <f>ROUND(I662*J662,0)</f>
        <v>1341600</v>
      </c>
      <c r="L662" s="113" t="s">
        <v>251</v>
      </c>
      <c r="M662" s="402" t="s">
        <v>168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63"/>
    </row>
    <row r="663" spans="1:26" ht="15.75" hidden="1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585</v>
      </c>
      <c r="E663" s="110">
        <v>42716</v>
      </c>
      <c r="F663" s="109" t="s">
        <v>494</v>
      </c>
      <c r="G663" s="298" t="s">
        <v>880</v>
      </c>
      <c r="H663" s="4" t="s">
        <v>616</v>
      </c>
      <c r="I663" s="133"/>
      <c r="J663" s="133"/>
      <c r="K663" s="13">
        <v>446240</v>
      </c>
      <c r="L663" s="113" t="s">
        <v>251</v>
      </c>
      <c r="M663" s="402" t="s">
        <v>350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63"/>
    </row>
    <row r="664" spans="1:26" ht="15.75" hidden="1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1031</v>
      </c>
      <c r="E664" s="110">
        <v>42717</v>
      </c>
      <c r="F664" s="109" t="s">
        <v>469</v>
      </c>
      <c r="G664" s="111" t="s">
        <v>472</v>
      </c>
      <c r="H664" s="112" t="s">
        <v>794</v>
      </c>
      <c r="I664" s="133"/>
      <c r="J664" s="135"/>
      <c r="K664" s="13">
        <v>13300000</v>
      </c>
      <c r="L664" s="113" t="s">
        <v>24</v>
      </c>
      <c r="M664" s="402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63"/>
    </row>
    <row r="665" spans="1:26" ht="15.75" hidden="1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467</v>
      </c>
      <c r="E665" s="110">
        <v>42717</v>
      </c>
      <c r="F665" s="109" t="s">
        <v>482</v>
      </c>
      <c r="G665" s="111" t="s">
        <v>472</v>
      </c>
      <c r="H665" s="112" t="s">
        <v>681</v>
      </c>
      <c r="I665" s="133"/>
      <c r="J665" s="135"/>
      <c r="K665" s="13">
        <v>27324000</v>
      </c>
      <c r="L665" s="113" t="s">
        <v>24</v>
      </c>
      <c r="M665" s="402" t="s">
        <v>251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63"/>
    </row>
    <row r="666" spans="1:26" ht="15.75" hidden="1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586</v>
      </c>
      <c r="E666" s="110">
        <v>42717</v>
      </c>
      <c r="F666" s="111" t="s">
        <v>527</v>
      </c>
      <c r="G666" s="298" t="s">
        <v>881</v>
      </c>
      <c r="H666" s="4" t="s">
        <v>367</v>
      </c>
      <c r="I666" s="133">
        <v>60</v>
      </c>
      <c r="J666" s="133">
        <v>47449</v>
      </c>
      <c r="K666" s="13">
        <f>ROUND(I666*J666,0)</f>
        <v>2846940</v>
      </c>
      <c r="L666" s="113" t="s">
        <v>251</v>
      </c>
      <c r="M666" s="402" t="s">
        <v>168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63"/>
    </row>
    <row r="667" spans="1:26" ht="15.75" hidden="1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586</v>
      </c>
      <c r="E667" s="110">
        <v>42717</v>
      </c>
      <c r="F667" s="111" t="s">
        <v>664</v>
      </c>
      <c r="G667" s="298" t="s">
        <v>881</v>
      </c>
      <c r="H667" s="4" t="s">
        <v>367</v>
      </c>
      <c r="I667" s="133">
        <v>22</v>
      </c>
      <c r="J667" s="133">
        <v>54530</v>
      </c>
      <c r="K667" s="13">
        <f>ROUND(I667*J667,0)</f>
        <v>1199660</v>
      </c>
      <c r="L667" s="113" t="s">
        <v>251</v>
      </c>
      <c r="M667" s="402" t="s">
        <v>168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63"/>
    </row>
    <row r="668" spans="1:26" ht="15.75" hidden="1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586</v>
      </c>
      <c r="E668" s="110">
        <v>42717</v>
      </c>
      <c r="F668" s="109" t="s">
        <v>494</v>
      </c>
      <c r="G668" s="298" t="s">
        <v>881</v>
      </c>
      <c r="H668" s="4" t="s">
        <v>367</v>
      </c>
      <c r="I668" s="133"/>
      <c r="J668" s="133"/>
      <c r="K668" s="13">
        <v>404660</v>
      </c>
      <c r="L668" s="113" t="s">
        <v>251</v>
      </c>
      <c r="M668" s="402" t="s">
        <v>350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63"/>
    </row>
    <row r="669" spans="1:26" ht="15.75" hidden="1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1038</v>
      </c>
      <c r="E669" s="110">
        <v>42717</v>
      </c>
      <c r="F669" s="111" t="s">
        <v>482</v>
      </c>
      <c r="G669" s="298" t="s">
        <v>881</v>
      </c>
      <c r="H669" s="4" t="s">
        <v>367</v>
      </c>
      <c r="I669" s="133"/>
      <c r="J669" s="133"/>
      <c r="K669" s="13">
        <v>4451260</v>
      </c>
      <c r="L669" s="113" t="s">
        <v>46</v>
      </c>
      <c r="M669" s="402" t="s">
        <v>251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6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468</v>
      </c>
      <c r="E670" s="110">
        <v>42718</v>
      </c>
      <c r="F670" s="111" t="s">
        <v>478</v>
      </c>
      <c r="G670" s="111" t="s">
        <v>472</v>
      </c>
      <c r="H670" s="112"/>
      <c r="I670" s="133"/>
      <c r="J670" s="135"/>
      <c r="K670" s="13">
        <v>20000</v>
      </c>
      <c r="L670" s="113" t="s">
        <v>82</v>
      </c>
      <c r="M670" s="402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6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468</v>
      </c>
      <c r="E671" s="110">
        <v>42718</v>
      </c>
      <c r="F671" s="111" t="s">
        <v>479</v>
      </c>
      <c r="G671" s="111" t="s">
        <v>472</v>
      </c>
      <c r="H671" s="112"/>
      <c r="I671" s="133"/>
      <c r="J671" s="135"/>
      <c r="K671" s="13">
        <v>2000</v>
      </c>
      <c r="L671" s="113" t="s">
        <v>9</v>
      </c>
      <c r="M671" s="402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6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468</v>
      </c>
      <c r="E672" s="110">
        <v>42718</v>
      </c>
      <c r="F672" s="111" t="s">
        <v>973</v>
      </c>
      <c r="G672" s="111" t="s">
        <v>472</v>
      </c>
      <c r="H672" s="112" t="s">
        <v>622</v>
      </c>
      <c r="I672" s="133"/>
      <c r="J672" s="135"/>
      <c r="K672" s="13">
        <v>40700000</v>
      </c>
      <c r="L672" s="113" t="s">
        <v>8</v>
      </c>
      <c r="M672" s="402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6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468</v>
      </c>
      <c r="E673" s="110">
        <v>42718</v>
      </c>
      <c r="F673" s="111" t="s">
        <v>478</v>
      </c>
      <c r="G673" s="111" t="s">
        <v>472</v>
      </c>
      <c r="H673" s="112"/>
      <c r="I673" s="133"/>
      <c r="J673" s="135"/>
      <c r="K673" s="13">
        <v>20000</v>
      </c>
      <c r="L673" s="113" t="s">
        <v>82</v>
      </c>
      <c r="M673" s="402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6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468</v>
      </c>
      <c r="E674" s="110">
        <v>42718</v>
      </c>
      <c r="F674" s="111" t="s">
        <v>479</v>
      </c>
      <c r="G674" s="111" t="s">
        <v>472</v>
      </c>
      <c r="H674" s="112"/>
      <c r="I674" s="133"/>
      <c r="J674" s="135"/>
      <c r="K674" s="13">
        <v>2000</v>
      </c>
      <c r="L674" s="113" t="s">
        <v>9</v>
      </c>
      <c r="M674" s="402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63">
        <v>4</v>
      </c>
    </row>
    <row r="675" spans="1:26" ht="15.75" hidden="1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587</v>
      </c>
      <c r="E675" s="110">
        <v>42719</v>
      </c>
      <c r="F675" s="111" t="s">
        <v>842</v>
      </c>
      <c r="G675" s="296" t="s">
        <v>841</v>
      </c>
      <c r="H675" s="4" t="s">
        <v>364</v>
      </c>
      <c r="I675" s="133">
        <v>103</v>
      </c>
      <c r="J675" s="133">
        <v>14000</v>
      </c>
      <c r="K675" s="13">
        <f>ROUND(I675*J675,0)</f>
        <v>1442000</v>
      </c>
      <c r="L675" s="113" t="s">
        <v>251</v>
      </c>
      <c r="M675" s="402" t="s">
        <v>168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63"/>
    </row>
    <row r="676" spans="1:26" ht="15.75" hidden="1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587</v>
      </c>
      <c r="E676" s="110">
        <v>42719</v>
      </c>
      <c r="F676" s="111" t="s">
        <v>843</v>
      </c>
      <c r="G676" s="296" t="s">
        <v>841</v>
      </c>
      <c r="H676" s="4" t="s">
        <v>364</v>
      </c>
      <c r="I676" s="134">
        <v>273</v>
      </c>
      <c r="J676" s="134">
        <v>20000</v>
      </c>
      <c r="K676" s="13">
        <f>ROUND(I676*J676,0)</f>
        <v>5460000</v>
      </c>
      <c r="L676" s="113" t="s">
        <v>251</v>
      </c>
      <c r="M676" s="402" t="s">
        <v>168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63"/>
    </row>
    <row r="677" spans="1:26" ht="15.75" hidden="1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587</v>
      </c>
      <c r="E677" s="110">
        <v>42719</v>
      </c>
      <c r="F677" s="109" t="s">
        <v>494</v>
      </c>
      <c r="G677" s="296" t="s">
        <v>841</v>
      </c>
      <c r="H677" s="4" t="s">
        <v>364</v>
      </c>
      <c r="I677" s="134"/>
      <c r="J677" s="134"/>
      <c r="K677" s="13">
        <v>690200</v>
      </c>
      <c r="L677" s="113" t="s">
        <v>251</v>
      </c>
      <c r="M677" s="402" t="s">
        <v>350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63"/>
    </row>
    <row r="678" spans="1:26" ht="15.75" hidden="1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588</v>
      </c>
      <c r="E678" s="110">
        <v>42719</v>
      </c>
      <c r="F678" s="109" t="s">
        <v>811</v>
      </c>
      <c r="G678" s="298" t="s">
        <v>882</v>
      </c>
      <c r="H678" s="4" t="s">
        <v>812</v>
      </c>
      <c r="I678" s="133">
        <v>2400</v>
      </c>
      <c r="J678" s="133">
        <v>7500</v>
      </c>
      <c r="K678" s="13">
        <f>ROUND(I678*J678,0)</f>
        <v>18000000</v>
      </c>
      <c r="L678" s="113" t="s">
        <v>251</v>
      </c>
      <c r="M678" s="402" t="s">
        <v>168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63"/>
    </row>
    <row r="679" spans="1:26" ht="15.75" hidden="1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588</v>
      </c>
      <c r="E679" s="110">
        <v>42719</v>
      </c>
      <c r="F679" s="109" t="s">
        <v>494</v>
      </c>
      <c r="G679" s="298" t="s">
        <v>882</v>
      </c>
      <c r="H679" s="4" t="s">
        <v>812</v>
      </c>
      <c r="I679" s="133"/>
      <c r="J679" s="133"/>
      <c r="K679" s="13">
        <v>1800000</v>
      </c>
      <c r="L679" s="113" t="s">
        <v>251</v>
      </c>
      <c r="M679" s="402" t="s">
        <v>350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63"/>
    </row>
    <row r="680" spans="1:26" ht="15.75" hidden="1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1040</v>
      </c>
      <c r="E680" s="110">
        <v>42719</v>
      </c>
      <c r="F680" s="111" t="s">
        <v>482</v>
      </c>
      <c r="G680" s="298" t="s">
        <v>882</v>
      </c>
      <c r="H680" s="4" t="s">
        <v>812</v>
      </c>
      <c r="I680" s="134"/>
      <c r="J680" s="134"/>
      <c r="K680" s="13">
        <v>19800000</v>
      </c>
      <c r="L680" s="113" t="s">
        <v>46</v>
      </c>
      <c r="M680" s="402" t="s">
        <v>251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63"/>
    </row>
    <row r="681" spans="1:26" ht="15.75" hidden="1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589</v>
      </c>
      <c r="E681" s="110">
        <v>42720</v>
      </c>
      <c r="F681" s="109" t="s">
        <v>811</v>
      </c>
      <c r="G681" s="298" t="s">
        <v>883</v>
      </c>
      <c r="H681" s="4" t="s">
        <v>812</v>
      </c>
      <c r="I681" s="133">
        <v>2400</v>
      </c>
      <c r="J681" s="133">
        <v>7500</v>
      </c>
      <c r="K681" s="13">
        <f>ROUND(I681*J681,0)</f>
        <v>18000000</v>
      </c>
      <c r="L681" s="113" t="s">
        <v>251</v>
      </c>
      <c r="M681" s="402" t="s">
        <v>168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63"/>
    </row>
    <row r="682" spans="1:26" ht="15.75" hidden="1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589</v>
      </c>
      <c r="E682" s="110">
        <v>42720</v>
      </c>
      <c r="F682" s="109" t="s">
        <v>494</v>
      </c>
      <c r="G682" s="298" t="s">
        <v>883</v>
      </c>
      <c r="H682" s="4" t="s">
        <v>812</v>
      </c>
      <c r="I682" s="133"/>
      <c r="J682" s="133"/>
      <c r="K682" s="13">
        <v>1800000</v>
      </c>
      <c r="L682" s="113" t="s">
        <v>251</v>
      </c>
      <c r="M682" s="402" t="s">
        <v>350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63"/>
    </row>
    <row r="683" spans="1:26" ht="15.75" hidden="1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1039</v>
      </c>
      <c r="E683" s="110">
        <v>42720</v>
      </c>
      <c r="F683" s="111" t="s">
        <v>482</v>
      </c>
      <c r="G683" s="298" t="s">
        <v>883</v>
      </c>
      <c r="H683" s="4" t="s">
        <v>812</v>
      </c>
      <c r="I683" s="134"/>
      <c r="J683" s="134"/>
      <c r="K683" s="13">
        <v>19800000</v>
      </c>
      <c r="L683" s="113" t="s">
        <v>46</v>
      </c>
      <c r="M683" s="402" t="s">
        <v>251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63"/>
    </row>
    <row r="684" spans="1:26" ht="15.75" hidden="1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590</v>
      </c>
      <c r="E684" s="110">
        <v>42721</v>
      </c>
      <c r="F684" s="111" t="s">
        <v>846</v>
      </c>
      <c r="G684" s="296" t="s">
        <v>845</v>
      </c>
      <c r="H684" s="125" t="s">
        <v>844</v>
      </c>
      <c r="I684" s="133">
        <v>205</v>
      </c>
      <c r="J684" s="133">
        <v>4950</v>
      </c>
      <c r="K684" s="13">
        <f>ROUND(I684*J684,0)</f>
        <v>1014750</v>
      </c>
      <c r="L684" s="113" t="s">
        <v>251</v>
      </c>
      <c r="M684" s="402" t="s">
        <v>168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63"/>
    </row>
    <row r="685" spans="1:26" ht="15.75" hidden="1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590</v>
      </c>
      <c r="E685" s="110">
        <v>42721</v>
      </c>
      <c r="F685" s="111" t="s">
        <v>847</v>
      </c>
      <c r="G685" s="296" t="s">
        <v>845</v>
      </c>
      <c r="H685" s="125" t="s">
        <v>844</v>
      </c>
      <c r="I685" s="133">
        <v>1160</v>
      </c>
      <c r="J685" s="133">
        <v>9936</v>
      </c>
      <c r="K685" s="13">
        <f>ROUND(I685*J685,0)</f>
        <v>11525760</v>
      </c>
      <c r="L685" s="113" t="s">
        <v>251</v>
      </c>
      <c r="M685" s="402" t="s">
        <v>168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63"/>
    </row>
    <row r="686" spans="1:26" ht="15.75" hidden="1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590</v>
      </c>
      <c r="E686" s="110">
        <v>42721</v>
      </c>
      <c r="F686" s="109" t="s">
        <v>494</v>
      </c>
      <c r="G686" s="296" t="s">
        <v>845</v>
      </c>
      <c r="H686" s="125" t="s">
        <v>844</v>
      </c>
      <c r="I686" s="133"/>
      <c r="J686" s="133"/>
      <c r="K686" s="13">
        <v>1254051</v>
      </c>
      <c r="L686" s="113" t="s">
        <v>251</v>
      </c>
      <c r="M686" s="402" t="s">
        <v>350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63"/>
    </row>
    <row r="687" spans="1:26" ht="15.75" hidden="1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591</v>
      </c>
      <c r="E687" s="110">
        <v>42721</v>
      </c>
      <c r="F687" s="111" t="s">
        <v>849</v>
      </c>
      <c r="G687" s="296" t="s">
        <v>848</v>
      </c>
      <c r="H687" s="125" t="s">
        <v>844</v>
      </c>
      <c r="I687" s="133">
        <v>292</v>
      </c>
      <c r="J687" s="133">
        <v>9853</v>
      </c>
      <c r="K687" s="13">
        <f>ROUND(I687*J687,0)</f>
        <v>2877076</v>
      </c>
      <c r="L687" s="113" t="s">
        <v>251</v>
      </c>
      <c r="M687" s="402" t="s">
        <v>168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63"/>
    </row>
    <row r="688" spans="1:26" ht="15.75" hidden="1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591</v>
      </c>
      <c r="E688" s="110">
        <v>42721</v>
      </c>
      <c r="F688" s="111" t="s">
        <v>850</v>
      </c>
      <c r="G688" s="296" t="s">
        <v>848</v>
      </c>
      <c r="H688" s="125" t="s">
        <v>844</v>
      </c>
      <c r="I688" s="133">
        <v>180</v>
      </c>
      <c r="J688" s="133">
        <v>8243</v>
      </c>
      <c r="K688" s="13">
        <f>ROUND(I688*J688,0)</f>
        <v>1483740</v>
      </c>
      <c r="L688" s="113" t="s">
        <v>251</v>
      </c>
      <c r="M688" s="402" t="s">
        <v>168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63"/>
    </row>
    <row r="689" spans="1:26" ht="15.75" hidden="1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591</v>
      </c>
      <c r="E689" s="110">
        <v>42721</v>
      </c>
      <c r="F689" s="111" t="s">
        <v>851</v>
      </c>
      <c r="G689" s="296" t="s">
        <v>848</v>
      </c>
      <c r="H689" s="125" t="s">
        <v>844</v>
      </c>
      <c r="I689" s="134">
        <v>50</v>
      </c>
      <c r="J689" s="134">
        <v>6670</v>
      </c>
      <c r="K689" s="13">
        <f>ROUND(I689*J689,0)</f>
        <v>333500</v>
      </c>
      <c r="L689" s="113" t="s">
        <v>251</v>
      </c>
      <c r="M689" s="402" t="s">
        <v>168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63"/>
    </row>
    <row r="690" spans="1:26" ht="15.75" hidden="1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591</v>
      </c>
      <c r="E690" s="110">
        <v>42721</v>
      </c>
      <c r="F690" s="111" t="s">
        <v>852</v>
      </c>
      <c r="G690" s="296" t="s">
        <v>848</v>
      </c>
      <c r="H690" s="125" t="s">
        <v>844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251</v>
      </c>
      <c r="M690" s="402" t="s">
        <v>168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63"/>
    </row>
    <row r="691" spans="1:26" ht="15.75" hidden="1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591</v>
      </c>
      <c r="E691" s="110">
        <v>42721</v>
      </c>
      <c r="F691" s="109" t="s">
        <v>494</v>
      </c>
      <c r="G691" s="296" t="s">
        <v>848</v>
      </c>
      <c r="H691" s="125" t="s">
        <v>844</v>
      </c>
      <c r="I691" s="133"/>
      <c r="J691" s="133"/>
      <c r="K691" s="13">
        <v>1204922</v>
      </c>
      <c r="L691" s="113" t="s">
        <v>251</v>
      </c>
      <c r="M691" s="402" t="s">
        <v>350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63"/>
    </row>
    <row r="692" spans="1:26" ht="15.75" hidden="1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592</v>
      </c>
      <c r="E692" s="110">
        <v>42721</v>
      </c>
      <c r="F692" s="111" t="s">
        <v>855</v>
      </c>
      <c r="G692" s="296" t="s">
        <v>853</v>
      </c>
      <c r="H692" s="125" t="s">
        <v>844</v>
      </c>
      <c r="I692" s="133">
        <v>584</v>
      </c>
      <c r="J692" s="133">
        <v>562</v>
      </c>
      <c r="K692" s="13">
        <f>ROUND(I692*J692,0)</f>
        <v>328208</v>
      </c>
      <c r="L692" s="113" t="s">
        <v>251</v>
      </c>
      <c r="M692" s="402" t="s">
        <v>168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63"/>
    </row>
    <row r="693" spans="1:26" ht="15.75" hidden="1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592</v>
      </c>
      <c r="E693" s="110">
        <v>42721</v>
      </c>
      <c r="F693" s="111" t="s">
        <v>856</v>
      </c>
      <c r="G693" s="296" t="s">
        <v>853</v>
      </c>
      <c r="H693" s="125" t="s">
        <v>844</v>
      </c>
      <c r="I693" s="133">
        <v>360</v>
      </c>
      <c r="J693" s="133">
        <v>475</v>
      </c>
      <c r="K693" s="13">
        <f>ROUND(I693*J693,0)</f>
        <v>171000</v>
      </c>
      <c r="L693" s="113" t="s">
        <v>251</v>
      </c>
      <c r="M693" s="402" t="s">
        <v>168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63"/>
    </row>
    <row r="694" spans="1:26" ht="15.75" hidden="1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592</v>
      </c>
      <c r="E694" s="110">
        <v>42721</v>
      </c>
      <c r="F694" s="111" t="s">
        <v>857</v>
      </c>
      <c r="G694" s="296" t="s">
        <v>853</v>
      </c>
      <c r="H694" s="125" t="s">
        <v>844</v>
      </c>
      <c r="I694" s="133">
        <v>100</v>
      </c>
      <c r="J694" s="133">
        <v>389</v>
      </c>
      <c r="K694" s="13">
        <f>ROUND(I694*J694,0)</f>
        <v>38900</v>
      </c>
      <c r="L694" s="113" t="s">
        <v>251</v>
      </c>
      <c r="M694" s="402" t="s">
        <v>168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63"/>
    </row>
    <row r="695" spans="1:26" ht="15.75" hidden="1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592</v>
      </c>
      <c r="E695" s="110">
        <v>42721</v>
      </c>
      <c r="F695" s="111" t="s">
        <v>858</v>
      </c>
      <c r="G695" s="296" t="s">
        <v>853</v>
      </c>
      <c r="H695" s="125" t="s">
        <v>844</v>
      </c>
      <c r="I695" s="133">
        <v>1108</v>
      </c>
      <c r="J695" s="133">
        <v>778</v>
      </c>
      <c r="K695" s="13">
        <f>ROUND(I695*J695,0)</f>
        <v>862024</v>
      </c>
      <c r="L695" s="113" t="s">
        <v>251</v>
      </c>
      <c r="M695" s="402" t="s">
        <v>168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63"/>
    </row>
    <row r="696" spans="1:26" ht="15.75" hidden="1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592</v>
      </c>
      <c r="E696" s="110">
        <v>42721</v>
      </c>
      <c r="F696" s="109" t="s">
        <v>854</v>
      </c>
      <c r="G696" s="296" t="s">
        <v>853</v>
      </c>
      <c r="H696" s="125" t="s">
        <v>844</v>
      </c>
      <c r="I696" s="134"/>
      <c r="J696" s="134"/>
      <c r="K696" s="13">
        <v>140013</v>
      </c>
      <c r="L696" s="113" t="s">
        <v>251</v>
      </c>
      <c r="M696" s="402" t="s">
        <v>350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63"/>
    </row>
    <row r="697" spans="1:26" ht="15.75" hidden="1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593</v>
      </c>
      <c r="E697" s="110">
        <v>42721</v>
      </c>
      <c r="F697" s="109" t="s">
        <v>811</v>
      </c>
      <c r="G697" s="296" t="s">
        <v>884</v>
      </c>
      <c r="H697" s="4" t="s">
        <v>812</v>
      </c>
      <c r="I697" s="133">
        <v>2400</v>
      </c>
      <c r="J697" s="133">
        <v>7500</v>
      </c>
      <c r="K697" s="13">
        <f>ROUND(I697*J697,0)</f>
        <v>18000000</v>
      </c>
      <c r="L697" s="113" t="s">
        <v>251</v>
      </c>
      <c r="M697" s="402" t="s">
        <v>168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63"/>
    </row>
    <row r="698" spans="1:26" ht="15.75" hidden="1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593</v>
      </c>
      <c r="E698" s="110">
        <v>42721</v>
      </c>
      <c r="F698" s="109" t="s">
        <v>494</v>
      </c>
      <c r="G698" s="296" t="s">
        <v>884</v>
      </c>
      <c r="H698" s="4" t="s">
        <v>812</v>
      </c>
      <c r="I698" s="133"/>
      <c r="J698" s="133"/>
      <c r="K698" s="13">
        <v>1800000</v>
      </c>
      <c r="L698" s="113" t="s">
        <v>251</v>
      </c>
      <c r="M698" s="402" t="s">
        <v>350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63"/>
    </row>
    <row r="699" spans="1:26" ht="15.75" hidden="1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1053</v>
      </c>
      <c r="E699" s="110">
        <v>42721</v>
      </c>
      <c r="F699" s="111" t="s">
        <v>482</v>
      </c>
      <c r="G699" s="296" t="s">
        <v>884</v>
      </c>
      <c r="H699" s="4" t="s">
        <v>812</v>
      </c>
      <c r="I699" s="134"/>
      <c r="J699" s="134"/>
      <c r="K699" s="13">
        <v>19800000</v>
      </c>
      <c r="L699" s="113" t="s">
        <v>46</v>
      </c>
      <c r="M699" s="402" t="s">
        <v>251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63"/>
    </row>
    <row r="700" spans="1:26" ht="15.75" hidden="1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594</v>
      </c>
      <c r="E700" s="110">
        <v>42722</v>
      </c>
      <c r="F700" s="109" t="s">
        <v>811</v>
      </c>
      <c r="G700" s="296" t="s">
        <v>885</v>
      </c>
      <c r="H700" s="4" t="s">
        <v>812</v>
      </c>
      <c r="I700" s="133">
        <v>2400</v>
      </c>
      <c r="J700" s="133">
        <v>7500</v>
      </c>
      <c r="K700" s="13">
        <f>ROUND(I700*J700,0)</f>
        <v>18000000</v>
      </c>
      <c r="L700" s="113" t="s">
        <v>251</v>
      </c>
      <c r="M700" s="402" t="s">
        <v>168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63"/>
    </row>
    <row r="701" spans="1:26" ht="15.75" hidden="1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594</v>
      </c>
      <c r="E701" s="110">
        <v>42722</v>
      </c>
      <c r="F701" s="109" t="s">
        <v>494</v>
      </c>
      <c r="G701" s="296" t="s">
        <v>885</v>
      </c>
      <c r="H701" s="4" t="s">
        <v>812</v>
      </c>
      <c r="I701" s="133"/>
      <c r="J701" s="133"/>
      <c r="K701" s="13">
        <v>1800000</v>
      </c>
      <c r="L701" s="113" t="s">
        <v>251</v>
      </c>
      <c r="M701" s="402" t="s">
        <v>350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63"/>
    </row>
    <row r="702" spans="1:26" ht="15.75" hidden="1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1054</v>
      </c>
      <c r="E702" s="110">
        <v>42722</v>
      </c>
      <c r="F702" s="111" t="s">
        <v>482</v>
      </c>
      <c r="G702" s="296" t="s">
        <v>885</v>
      </c>
      <c r="H702" s="4" t="s">
        <v>812</v>
      </c>
      <c r="I702" s="134"/>
      <c r="J702" s="134"/>
      <c r="K702" s="13">
        <v>19800000</v>
      </c>
      <c r="L702" s="113" t="s">
        <v>46</v>
      </c>
      <c r="M702" s="402" t="s">
        <v>251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63"/>
    </row>
    <row r="703" spans="1:26" ht="15.75" hidden="1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948</v>
      </c>
      <c r="E703" s="105">
        <v>42723</v>
      </c>
      <c r="F703" s="109" t="s">
        <v>442</v>
      </c>
      <c r="G703" s="296" t="s">
        <v>940</v>
      </c>
      <c r="H703" s="112" t="s">
        <v>440</v>
      </c>
      <c r="I703" s="133">
        <v>6950</v>
      </c>
      <c r="J703" s="133">
        <v>800</v>
      </c>
      <c r="K703" s="13">
        <f>ROUND(I703*J703,0)</f>
        <v>5560000</v>
      </c>
      <c r="L703" s="113" t="s">
        <v>155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63">
        <v>4</v>
      </c>
    </row>
    <row r="704" spans="1:26" ht="15.75" hidden="1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948</v>
      </c>
      <c r="E704" s="105">
        <v>42723</v>
      </c>
      <c r="F704" s="109" t="s">
        <v>443</v>
      </c>
      <c r="G704" s="296" t="s">
        <v>940</v>
      </c>
      <c r="H704" s="112" t="s">
        <v>440</v>
      </c>
      <c r="I704" s="133"/>
      <c r="J704" s="133"/>
      <c r="K704" s="401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6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1041</v>
      </c>
      <c r="E705" s="105">
        <v>42723</v>
      </c>
      <c r="F705" s="109" t="s">
        <v>463</v>
      </c>
      <c r="G705" s="296" t="s">
        <v>940</v>
      </c>
      <c r="H705" s="112" t="s">
        <v>440</v>
      </c>
      <c r="I705" s="133"/>
      <c r="J705" s="133"/>
      <c r="K705" s="401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63"/>
    </row>
    <row r="706" spans="1:26" ht="15.75" hidden="1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1042</v>
      </c>
      <c r="E706" s="110">
        <v>42723</v>
      </c>
      <c r="F706" s="109" t="s">
        <v>469</v>
      </c>
      <c r="G706" s="111" t="s">
        <v>472</v>
      </c>
      <c r="H706" s="112" t="s">
        <v>486</v>
      </c>
      <c r="I706" s="133"/>
      <c r="J706" s="135"/>
      <c r="K706" s="13">
        <v>11400000</v>
      </c>
      <c r="L706" s="113" t="s">
        <v>24</v>
      </c>
      <c r="M706" s="402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63"/>
    </row>
    <row r="707" spans="1:26" ht="15.75" hidden="1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468</v>
      </c>
      <c r="E707" s="110">
        <v>42723</v>
      </c>
      <c r="F707" s="111" t="s">
        <v>972</v>
      </c>
      <c r="G707" s="111" t="s">
        <v>472</v>
      </c>
      <c r="H707" s="112" t="s">
        <v>622</v>
      </c>
      <c r="I707" s="133"/>
      <c r="J707" s="135"/>
      <c r="K707" s="13">
        <v>11286770</v>
      </c>
      <c r="L707" s="113" t="s">
        <v>55</v>
      </c>
      <c r="M707" s="402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6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468</v>
      </c>
      <c r="E708" s="110">
        <v>42723</v>
      </c>
      <c r="F708" s="111" t="s">
        <v>484</v>
      </c>
      <c r="G708" s="111" t="s">
        <v>472</v>
      </c>
      <c r="H708" s="112"/>
      <c r="I708" s="133"/>
      <c r="J708" s="135"/>
      <c r="K708" s="13">
        <v>20000</v>
      </c>
      <c r="L708" s="113" t="s">
        <v>82</v>
      </c>
      <c r="M708" s="402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6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468</v>
      </c>
      <c r="E709" s="110">
        <v>42723</v>
      </c>
      <c r="F709" s="111" t="s">
        <v>485</v>
      </c>
      <c r="G709" s="111" t="s">
        <v>472</v>
      </c>
      <c r="H709" s="112"/>
      <c r="I709" s="133"/>
      <c r="J709" s="135"/>
      <c r="K709" s="13">
        <v>2000</v>
      </c>
      <c r="L709" s="113" t="s">
        <v>9</v>
      </c>
      <c r="M709" s="402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63">
        <v>4</v>
      </c>
    </row>
    <row r="710" spans="1:26" ht="15.75" hidden="1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595</v>
      </c>
      <c r="E710" s="110">
        <v>42723</v>
      </c>
      <c r="F710" s="109" t="s">
        <v>811</v>
      </c>
      <c r="G710" s="296" t="s">
        <v>886</v>
      </c>
      <c r="H710" s="4" t="s">
        <v>812</v>
      </c>
      <c r="I710" s="133">
        <v>2400</v>
      </c>
      <c r="J710" s="133">
        <v>7500</v>
      </c>
      <c r="K710" s="13">
        <f>ROUND(I710*J710,0)</f>
        <v>18000000</v>
      </c>
      <c r="L710" s="113" t="s">
        <v>251</v>
      </c>
      <c r="M710" s="402" t="s">
        <v>168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63"/>
    </row>
    <row r="711" spans="1:26" ht="15.75" hidden="1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595</v>
      </c>
      <c r="E711" s="110">
        <v>42723</v>
      </c>
      <c r="F711" s="109" t="s">
        <v>494</v>
      </c>
      <c r="G711" s="296" t="s">
        <v>886</v>
      </c>
      <c r="H711" s="4" t="s">
        <v>812</v>
      </c>
      <c r="I711" s="133"/>
      <c r="J711" s="133"/>
      <c r="K711" s="13">
        <v>1800000</v>
      </c>
      <c r="L711" s="113" t="s">
        <v>251</v>
      </c>
      <c r="M711" s="402" t="s">
        <v>350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63"/>
    </row>
    <row r="712" spans="1:26" ht="15.75" hidden="1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1055</v>
      </c>
      <c r="E712" s="110">
        <v>42723</v>
      </c>
      <c r="F712" s="111" t="s">
        <v>482</v>
      </c>
      <c r="G712" s="296" t="s">
        <v>886</v>
      </c>
      <c r="H712" s="4" t="s">
        <v>812</v>
      </c>
      <c r="I712" s="134"/>
      <c r="J712" s="134"/>
      <c r="K712" s="13">
        <v>19800000</v>
      </c>
      <c r="L712" s="113" t="s">
        <v>46</v>
      </c>
      <c r="M712" s="402" t="s">
        <v>251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63"/>
    </row>
    <row r="713" spans="1:26" ht="15.75" hidden="1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1043</v>
      </c>
      <c r="E713" s="110">
        <v>42724</v>
      </c>
      <c r="F713" s="109" t="s">
        <v>469</v>
      </c>
      <c r="G713" s="111" t="s">
        <v>472</v>
      </c>
      <c r="H713" s="112" t="s">
        <v>486</v>
      </c>
      <c r="I713" s="133"/>
      <c r="J713" s="135"/>
      <c r="K713" s="13">
        <v>30000000</v>
      </c>
      <c r="L713" s="113" t="s">
        <v>24</v>
      </c>
      <c r="M713" s="402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6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468</v>
      </c>
      <c r="E714" s="110">
        <v>42724</v>
      </c>
      <c r="F714" s="111" t="s">
        <v>463</v>
      </c>
      <c r="G714" s="111" t="s">
        <v>472</v>
      </c>
      <c r="H714" s="598" t="s">
        <v>1075</v>
      </c>
      <c r="I714" s="133"/>
      <c r="J714" s="135"/>
      <c r="K714" s="13">
        <v>30000000</v>
      </c>
      <c r="L714" s="113" t="s">
        <v>8</v>
      </c>
      <c r="M714" s="402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6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468</v>
      </c>
      <c r="E715" s="110">
        <v>42724</v>
      </c>
      <c r="F715" s="111" t="s">
        <v>478</v>
      </c>
      <c r="G715" s="111" t="s">
        <v>472</v>
      </c>
      <c r="H715" s="112"/>
      <c r="I715" s="133"/>
      <c r="J715" s="135"/>
      <c r="K715" s="13">
        <v>20000</v>
      </c>
      <c r="L715" s="113" t="s">
        <v>82</v>
      </c>
      <c r="M715" s="402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6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468</v>
      </c>
      <c r="E716" s="110">
        <v>42724</v>
      </c>
      <c r="F716" s="111" t="s">
        <v>479</v>
      </c>
      <c r="G716" s="111" t="s">
        <v>472</v>
      </c>
      <c r="H716" s="112"/>
      <c r="I716" s="133"/>
      <c r="J716" s="135"/>
      <c r="K716" s="13">
        <v>2000</v>
      </c>
      <c r="L716" s="113" t="s">
        <v>9</v>
      </c>
      <c r="M716" s="402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6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468</v>
      </c>
      <c r="E717" s="110">
        <v>42724</v>
      </c>
      <c r="F717" s="111" t="s">
        <v>484</v>
      </c>
      <c r="G717" s="111" t="s">
        <v>472</v>
      </c>
      <c r="H717" s="112"/>
      <c r="I717" s="133"/>
      <c r="J717" s="135"/>
      <c r="K717" s="13">
        <v>20000</v>
      </c>
      <c r="L717" s="113" t="s">
        <v>82</v>
      </c>
      <c r="M717" s="402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6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468</v>
      </c>
      <c r="E718" s="110">
        <v>42724</v>
      </c>
      <c r="F718" s="111" t="s">
        <v>485</v>
      </c>
      <c r="G718" s="111" t="s">
        <v>472</v>
      </c>
      <c r="H718" s="112"/>
      <c r="I718" s="133"/>
      <c r="J718" s="135"/>
      <c r="K718" s="13">
        <v>2000</v>
      </c>
      <c r="L718" s="113" t="s">
        <v>9</v>
      </c>
      <c r="M718" s="402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63">
        <v>4</v>
      </c>
    </row>
    <row r="719" spans="1:26" ht="15.75" hidden="1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596</v>
      </c>
      <c r="E719" s="110">
        <v>42724</v>
      </c>
      <c r="F719" s="111" t="s">
        <v>689</v>
      </c>
      <c r="G719" s="296" t="s">
        <v>887</v>
      </c>
      <c r="H719" s="4" t="s">
        <v>688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251</v>
      </c>
      <c r="M719" s="402" t="s">
        <v>168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63"/>
    </row>
    <row r="720" spans="1:26" ht="15.75" hidden="1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596</v>
      </c>
      <c r="E720" s="110">
        <v>42724</v>
      </c>
      <c r="F720" s="109" t="s">
        <v>494</v>
      </c>
      <c r="G720" s="296" t="s">
        <v>887</v>
      </c>
      <c r="H720" s="4" t="s">
        <v>688</v>
      </c>
      <c r="I720" s="134"/>
      <c r="J720" s="134"/>
      <c r="K720" s="13">
        <v>514480</v>
      </c>
      <c r="L720" s="113" t="s">
        <v>251</v>
      </c>
      <c r="M720" s="402" t="s">
        <v>350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63"/>
    </row>
    <row r="721" spans="1:26" ht="15.75" hidden="1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597</v>
      </c>
      <c r="E721" s="110">
        <v>42724</v>
      </c>
      <c r="F721" s="109" t="s">
        <v>530</v>
      </c>
      <c r="G721" s="296" t="s">
        <v>888</v>
      </c>
      <c r="H721" s="4" t="s">
        <v>615</v>
      </c>
      <c r="I721" s="133">
        <v>243</v>
      </c>
      <c r="J721" s="133">
        <v>9300</v>
      </c>
      <c r="K721" s="13">
        <f>ROUND(I721*J721,0)</f>
        <v>2259900</v>
      </c>
      <c r="L721" s="113" t="s">
        <v>251</v>
      </c>
      <c r="M721" s="402" t="s">
        <v>168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63"/>
    </row>
    <row r="722" spans="1:26" ht="15.75" hidden="1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597</v>
      </c>
      <c r="E722" s="110">
        <v>42724</v>
      </c>
      <c r="F722" s="109" t="s">
        <v>889</v>
      </c>
      <c r="G722" s="296" t="s">
        <v>888</v>
      </c>
      <c r="H722" s="4" t="s">
        <v>615</v>
      </c>
      <c r="I722" s="133"/>
      <c r="J722" s="133"/>
      <c r="K722" s="13">
        <v>225990</v>
      </c>
      <c r="L722" s="113" t="s">
        <v>251</v>
      </c>
      <c r="M722" s="402" t="s">
        <v>350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63"/>
    </row>
    <row r="723" spans="1:26" ht="15.75" hidden="1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598</v>
      </c>
      <c r="E723" s="110">
        <v>42724</v>
      </c>
      <c r="F723" s="111" t="s">
        <v>891</v>
      </c>
      <c r="G723" s="296" t="s">
        <v>890</v>
      </c>
      <c r="H723" s="4" t="s">
        <v>892</v>
      </c>
      <c r="I723" s="133">
        <v>70</v>
      </c>
      <c r="J723" s="133">
        <v>24700</v>
      </c>
      <c r="K723" s="13">
        <f>ROUND(I723*J723,0)</f>
        <v>1729000</v>
      </c>
      <c r="L723" s="113" t="s">
        <v>251</v>
      </c>
      <c r="M723" s="402" t="s">
        <v>168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63"/>
    </row>
    <row r="724" spans="1:26" ht="15.75" hidden="1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598</v>
      </c>
      <c r="E724" s="110">
        <v>42724</v>
      </c>
      <c r="F724" s="109" t="s">
        <v>494</v>
      </c>
      <c r="G724" s="296" t="s">
        <v>890</v>
      </c>
      <c r="H724" s="4" t="s">
        <v>892</v>
      </c>
      <c r="I724" s="133"/>
      <c r="J724" s="133"/>
      <c r="K724" s="13">
        <v>172900</v>
      </c>
      <c r="L724" s="113" t="s">
        <v>251</v>
      </c>
      <c r="M724" s="402" t="s">
        <v>350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63"/>
    </row>
    <row r="725" spans="1:26" ht="15.75" hidden="1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599</v>
      </c>
      <c r="E725" s="110">
        <v>42724</v>
      </c>
      <c r="F725" s="111" t="s">
        <v>894</v>
      </c>
      <c r="G725" s="296" t="s">
        <v>893</v>
      </c>
      <c r="H725" s="125" t="s">
        <v>896</v>
      </c>
      <c r="I725" s="134">
        <v>126</v>
      </c>
      <c r="J725" s="134">
        <v>21900</v>
      </c>
      <c r="K725" s="13">
        <f>ROUND(I725*J725,0)</f>
        <v>2759400</v>
      </c>
      <c r="L725" s="113" t="s">
        <v>251</v>
      </c>
      <c r="M725" s="402" t="s">
        <v>168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63"/>
    </row>
    <row r="726" spans="1:26" ht="15.75" hidden="1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599</v>
      </c>
      <c r="E726" s="110">
        <v>42724</v>
      </c>
      <c r="F726" s="111" t="s">
        <v>895</v>
      </c>
      <c r="G726" s="296" t="s">
        <v>893</v>
      </c>
      <c r="H726" s="125" t="s">
        <v>896</v>
      </c>
      <c r="I726" s="133">
        <v>126</v>
      </c>
      <c r="J726" s="133">
        <v>800</v>
      </c>
      <c r="K726" s="13">
        <f>ROUND(I726*J726,0)</f>
        <v>100800</v>
      </c>
      <c r="L726" s="113" t="s">
        <v>251</v>
      </c>
      <c r="M726" s="402" t="s">
        <v>168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63"/>
    </row>
    <row r="727" spans="1:26" ht="15.75" hidden="1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599</v>
      </c>
      <c r="E727" s="110">
        <v>42724</v>
      </c>
      <c r="F727" s="109" t="s">
        <v>494</v>
      </c>
      <c r="G727" s="296" t="s">
        <v>893</v>
      </c>
      <c r="H727" s="125" t="s">
        <v>896</v>
      </c>
      <c r="I727" s="133"/>
      <c r="J727" s="133"/>
      <c r="K727" s="13">
        <v>286020</v>
      </c>
      <c r="L727" s="113" t="s">
        <v>251</v>
      </c>
      <c r="M727" s="402" t="s">
        <v>350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63"/>
    </row>
    <row r="728" spans="1:26" ht="15.75" hidden="1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600</v>
      </c>
      <c r="E728" s="110">
        <v>42724</v>
      </c>
      <c r="F728" s="109" t="s">
        <v>811</v>
      </c>
      <c r="G728" s="296" t="s">
        <v>897</v>
      </c>
      <c r="H728" s="4" t="s">
        <v>812</v>
      </c>
      <c r="I728" s="133">
        <v>2400</v>
      </c>
      <c r="J728" s="133">
        <v>7500</v>
      </c>
      <c r="K728" s="13">
        <f>ROUND(I728*J728,0)</f>
        <v>18000000</v>
      </c>
      <c r="L728" s="113" t="s">
        <v>251</v>
      </c>
      <c r="M728" s="402" t="s">
        <v>168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63"/>
    </row>
    <row r="729" spans="1:26" ht="15.75" hidden="1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600</v>
      </c>
      <c r="E729" s="110">
        <v>42724</v>
      </c>
      <c r="F729" s="109" t="s">
        <v>494</v>
      </c>
      <c r="G729" s="296" t="s">
        <v>897</v>
      </c>
      <c r="H729" s="4" t="s">
        <v>812</v>
      </c>
      <c r="I729" s="133"/>
      <c r="J729" s="133"/>
      <c r="K729" s="13">
        <v>1800000</v>
      </c>
      <c r="L729" s="113" t="s">
        <v>251</v>
      </c>
      <c r="M729" s="402" t="s">
        <v>350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63"/>
    </row>
    <row r="730" spans="1:26" ht="15.75" hidden="1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1056</v>
      </c>
      <c r="E730" s="110">
        <v>42724</v>
      </c>
      <c r="F730" s="111" t="s">
        <v>482</v>
      </c>
      <c r="G730" s="296" t="s">
        <v>897</v>
      </c>
      <c r="H730" s="4" t="s">
        <v>812</v>
      </c>
      <c r="I730" s="134"/>
      <c r="J730" s="134"/>
      <c r="K730" s="13">
        <v>19800000</v>
      </c>
      <c r="L730" s="113" t="s">
        <v>46</v>
      </c>
      <c r="M730" s="402" t="s">
        <v>251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63"/>
    </row>
    <row r="731" spans="1:26" ht="15.75" hidden="1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601</v>
      </c>
      <c r="E731" s="110">
        <v>42725</v>
      </c>
      <c r="F731" s="109" t="s">
        <v>811</v>
      </c>
      <c r="G731" s="296" t="s">
        <v>898</v>
      </c>
      <c r="H731" s="4" t="s">
        <v>812</v>
      </c>
      <c r="I731" s="133">
        <v>2400</v>
      </c>
      <c r="J731" s="133">
        <v>7500</v>
      </c>
      <c r="K731" s="13">
        <f>ROUND(I731*J731,0)</f>
        <v>18000000</v>
      </c>
      <c r="L731" s="113" t="s">
        <v>251</v>
      </c>
      <c r="M731" s="402" t="s">
        <v>168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63"/>
    </row>
    <row r="732" spans="1:26" ht="15.75" hidden="1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601</v>
      </c>
      <c r="E732" s="110">
        <v>42725</v>
      </c>
      <c r="F732" s="109" t="s">
        <v>494</v>
      </c>
      <c r="G732" s="296" t="s">
        <v>898</v>
      </c>
      <c r="H732" s="4" t="s">
        <v>812</v>
      </c>
      <c r="I732" s="133"/>
      <c r="J732" s="133"/>
      <c r="K732" s="13">
        <v>1800000</v>
      </c>
      <c r="L732" s="113" t="s">
        <v>251</v>
      </c>
      <c r="M732" s="402" t="s">
        <v>350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63"/>
    </row>
    <row r="733" spans="1:26" ht="15.75" hidden="1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1057</v>
      </c>
      <c r="E733" s="110">
        <v>42725</v>
      </c>
      <c r="F733" s="111" t="s">
        <v>482</v>
      </c>
      <c r="G733" s="296" t="s">
        <v>898</v>
      </c>
      <c r="H733" s="4" t="s">
        <v>812</v>
      </c>
      <c r="I733" s="134"/>
      <c r="J733" s="134"/>
      <c r="K733" s="13">
        <v>19800000</v>
      </c>
      <c r="L733" s="113" t="s">
        <v>46</v>
      </c>
      <c r="M733" s="402" t="s">
        <v>251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63"/>
    </row>
    <row r="734" spans="1:26" ht="15.75" hidden="1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467</v>
      </c>
      <c r="E734" s="110">
        <v>42726</v>
      </c>
      <c r="F734" s="109" t="s">
        <v>971</v>
      </c>
      <c r="G734" s="111" t="s">
        <v>472</v>
      </c>
      <c r="H734" s="112"/>
      <c r="I734" s="133"/>
      <c r="J734" s="135"/>
      <c r="K734" s="13">
        <v>11286770</v>
      </c>
      <c r="L734" s="113" t="s">
        <v>24</v>
      </c>
      <c r="M734" s="402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63"/>
    </row>
    <row r="735" spans="1:26" ht="15.75" hidden="1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1058</v>
      </c>
      <c r="E735" s="110">
        <v>42726</v>
      </c>
      <c r="F735" s="111" t="s">
        <v>483</v>
      </c>
      <c r="G735" s="111" t="s">
        <v>472</v>
      </c>
      <c r="H735" s="112" t="s">
        <v>486</v>
      </c>
      <c r="I735" s="133"/>
      <c r="J735" s="135"/>
      <c r="K735" s="13">
        <v>11300000</v>
      </c>
      <c r="L735" s="113" t="s">
        <v>46</v>
      </c>
      <c r="M735" s="402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63"/>
    </row>
    <row r="736" spans="1:26" ht="15.75" hidden="1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602</v>
      </c>
      <c r="E736" s="110">
        <v>42726</v>
      </c>
      <c r="F736" s="111" t="s">
        <v>900</v>
      </c>
      <c r="G736" s="296" t="s">
        <v>899</v>
      </c>
      <c r="H736" s="4" t="s">
        <v>369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251</v>
      </c>
      <c r="M736" s="402" t="s">
        <v>168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63"/>
    </row>
    <row r="737" spans="1:26" ht="15.75" hidden="1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602</v>
      </c>
      <c r="E737" s="110">
        <v>42726</v>
      </c>
      <c r="F737" s="111" t="s">
        <v>901</v>
      </c>
      <c r="G737" s="296" t="s">
        <v>899</v>
      </c>
      <c r="H737" s="4" t="s">
        <v>369</v>
      </c>
      <c r="I737" s="134">
        <v>110</v>
      </c>
      <c r="J737" s="134">
        <v>9640</v>
      </c>
      <c r="K737" s="13">
        <f>ROUND(I737*J737,0)</f>
        <v>1060400</v>
      </c>
      <c r="L737" s="113" t="s">
        <v>251</v>
      </c>
      <c r="M737" s="402" t="s">
        <v>168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63"/>
    </row>
    <row r="738" spans="1:26" ht="15.75" hidden="1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602</v>
      </c>
      <c r="E738" s="110">
        <v>42726</v>
      </c>
      <c r="F738" s="111" t="s">
        <v>902</v>
      </c>
      <c r="G738" s="296" t="s">
        <v>899</v>
      </c>
      <c r="H738" s="4" t="s">
        <v>369</v>
      </c>
      <c r="I738" s="134">
        <v>160</v>
      </c>
      <c r="J738" s="134">
        <v>9940</v>
      </c>
      <c r="K738" s="13">
        <f>ROUND(I738*J738,0)</f>
        <v>1590400</v>
      </c>
      <c r="L738" s="113" t="s">
        <v>251</v>
      </c>
      <c r="M738" s="402" t="s">
        <v>168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63"/>
    </row>
    <row r="739" spans="1:26" ht="15.75" hidden="1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602</v>
      </c>
      <c r="E739" s="110">
        <v>42726</v>
      </c>
      <c r="F739" s="111" t="s">
        <v>499</v>
      </c>
      <c r="G739" s="296" t="s">
        <v>899</v>
      </c>
      <c r="H739" s="4" t="s">
        <v>369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251</v>
      </c>
      <c r="M739" s="402" t="s">
        <v>168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63"/>
    </row>
    <row r="740" spans="1:26" ht="15.75" hidden="1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602</v>
      </c>
      <c r="E740" s="110">
        <v>42726</v>
      </c>
      <c r="F740" s="109" t="s">
        <v>494</v>
      </c>
      <c r="G740" s="296" t="s">
        <v>899</v>
      </c>
      <c r="H740" s="4" t="s">
        <v>369</v>
      </c>
      <c r="I740" s="133"/>
      <c r="J740" s="133"/>
      <c r="K740" s="13">
        <v>1350430</v>
      </c>
      <c r="L740" s="113" t="s">
        <v>251</v>
      </c>
      <c r="M740" s="402" t="s">
        <v>350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63"/>
    </row>
    <row r="741" spans="1:26" ht="15.75" hidden="1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603</v>
      </c>
      <c r="E741" s="110">
        <v>42726</v>
      </c>
      <c r="F741" s="111" t="s">
        <v>904</v>
      </c>
      <c r="G741" s="296" t="s">
        <v>903</v>
      </c>
      <c r="H741" s="4" t="s">
        <v>369</v>
      </c>
      <c r="I741" s="133">
        <v>275</v>
      </c>
      <c r="J741" s="133">
        <v>18800</v>
      </c>
      <c r="K741" s="13">
        <f>ROUND(I741*J741,0)</f>
        <v>5170000</v>
      </c>
      <c r="L741" s="113" t="s">
        <v>251</v>
      </c>
      <c r="M741" s="402" t="s">
        <v>168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63"/>
    </row>
    <row r="742" spans="1:26" ht="15.75" hidden="1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603</v>
      </c>
      <c r="E742" s="110">
        <v>42726</v>
      </c>
      <c r="F742" s="111" t="s">
        <v>905</v>
      </c>
      <c r="G742" s="296" t="s">
        <v>903</v>
      </c>
      <c r="H742" s="4" t="s">
        <v>369</v>
      </c>
      <c r="I742" s="133">
        <v>66</v>
      </c>
      <c r="J742" s="133">
        <v>18000</v>
      </c>
      <c r="K742" s="13">
        <f>ROUND(I742*J742,0)</f>
        <v>1188000</v>
      </c>
      <c r="L742" s="113" t="s">
        <v>251</v>
      </c>
      <c r="M742" s="402" t="s">
        <v>168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63"/>
    </row>
    <row r="743" spans="1:26" ht="15.75" hidden="1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603</v>
      </c>
      <c r="E743" s="110">
        <v>42726</v>
      </c>
      <c r="F743" s="111" t="s">
        <v>499</v>
      </c>
      <c r="G743" s="296" t="s">
        <v>903</v>
      </c>
      <c r="H743" s="4" t="s">
        <v>369</v>
      </c>
      <c r="I743" s="133">
        <v>165</v>
      </c>
      <c r="J743" s="133">
        <v>14500</v>
      </c>
      <c r="K743" s="13">
        <f>ROUND(I743*J743,0)</f>
        <v>2392500</v>
      </c>
      <c r="L743" s="113" t="s">
        <v>251</v>
      </c>
      <c r="M743" s="402" t="s">
        <v>168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63"/>
    </row>
    <row r="744" spans="1:26" ht="15.75" hidden="1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603</v>
      </c>
      <c r="E744" s="110">
        <v>42726</v>
      </c>
      <c r="F744" s="111" t="s">
        <v>507</v>
      </c>
      <c r="G744" s="296" t="s">
        <v>903</v>
      </c>
      <c r="H744" s="4" t="s">
        <v>369</v>
      </c>
      <c r="I744" s="134">
        <v>550</v>
      </c>
      <c r="J744" s="134">
        <v>1230</v>
      </c>
      <c r="K744" s="13">
        <f>ROUND(I744*J744,0)</f>
        <v>676500</v>
      </c>
      <c r="L744" s="113" t="s">
        <v>251</v>
      </c>
      <c r="M744" s="402" t="s">
        <v>168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63"/>
    </row>
    <row r="745" spans="1:26" ht="15.75" hidden="1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603</v>
      </c>
      <c r="E745" s="110">
        <v>42726</v>
      </c>
      <c r="F745" s="111" t="s">
        <v>906</v>
      </c>
      <c r="G745" s="296" t="s">
        <v>903</v>
      </c>
      <c r="H745" s="4" t="s">
        <v>369</v>
      </c>
      <c r="I745" s="133">
        <v>132</v>
      </c>
      <c r="J745" s="133">
        <v>1100</v>
      </c>
      <c r="K745" s="13">
        <f>ROUND(I745*J745,0)</f>
        <v>145200</v>
      </c>
      <c r="L745" s="113" t="s">
        <v>251</v>
      </c>
      <c r="M745" s="402" t="s">
        <v>168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63"/>
    </row>
    <row r="746" spans="1:26" ht="15.75" hidden="1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603</v>
      </c>
      <c r="E746" s="110">
        <v>42726</v>
      </c>
      <c r="F746" s="109" t="s">
        <v>494</v>
      </c>
      <c r="G746" s="296" t="s">
        <v>903</v>
      </c>
      <c r="H746" s="4" t="s">
        <v>369</v>
      </c>
      <c r="I746" s="134"/>
      <c r="J746" s="134"/>
      <c r="K746" s="13">
        <v>957220</v>
      </c>
      <c r="L746" s="113" t="s">
        <v>251</v>
      </c>
      <c r="M746" s="402" t="s">
        <v>350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63"/>
    </row>
    <row r="747" spans="1:26" ht="15.75" hidden="1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604</v>
      </c>
      <c r="E747" s="110">
        <v>42726</v>
      </c>
      <c r="F747" s="111" t="s">
        <v>498</v>
      </c>
      <c r="G747" s="296" t="s">
        <v>907</v>
      </c>
      <c r="H747" s="4" t="s">
        <v>369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251</v>
      </c>
      <c r="M747" s="402" t="s">
        <v>168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63"/>
    </row>
    <row r="748" spans="1:26" ht="15.75" hidden="1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604</v>
      </c>
      <c r="E748" s="110">
        <v>42726</v>
      </c>
      <c r="F748" s="109" t="s">
        <v>494</v>
      </c>
      <c r="G748" s="296" t="s">
        <v>907</v>
      </c>
      <c r="H748" s="4" t="s">
        <v>369</v>
      </c>
      <c r="I748" s="133"/>
      <c r="J748" s="133"/>
      <c r="K748" s="13">
        <v>544163</v>
      </c>
      <c r="L748" s="113" t="s">
        <v>251</v>
      </c>
      <c r="M748" s="402" t="s">
        <v>350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63"/>
    </row>
    <row r="749" spans="1:26" ht="15.75" hidden="1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605</v>
      </c>
      <c r="E749" s="110">
        <v>42726</v>
      </c>
      <c r="F749" s="111" t="s">
        <v>498</v>
      </c>
      <c r="G749" s="296" t="s">
        <v>908</v>
      </c>
      <c r="H749" s="4" t="s">
        <v>369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251</v>
      </c>
      <c r="M749" s="402" t="s">
        <v>168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63"/>
    </row>
    <row r="750" spans="1:26" ht="15.75" hidden="1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605</v>
      </c>
      <c r="E750" s="110">
        <v>42726</v>
      </c>
      <c r="F750" s="109" t="s">
        <v>494</v>
      </c>
      <c r="G750" s="296" t="s">
        <v>908</v>
      </c>
      <c r="H750" s="4" t="s">
        <v>369</v>
      </c>
      <c r="I750" s="133"/>
      <c r="J750" s="133"/>
      <c r="K750" s="13">
        <v>603249</v>
      </c>
      <c r="L750" s="113" t="s">
        <v>251</v>
      </c>
      <c r="M750" s="402" t="s">
        <v>350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63"/>
    </row>
    <row r="751" spans="1:26" ht="15.75" hidden="1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606</v>
      </c>
      <c r="E751" s="110">
        <v>42726</v>
      </c>
      <c r="F751" s="111" t="s">
        <v>527</v>
      </c>
      <c r="G751" s="296" t="s">
        <v>909</v>
      </c>
      <c r="H751" s="4" t="s">
        <v>367</v>
      </c>
      <c r="I751" s="134">
        <v>288</v>
      </c>
      <c r="J751" s="134">
        <v>47449</v>
      </c>
      <c r="K751" s="13">
        <f>ROUND(I751*J751,0)</f>
        <v>13665312</v>
      </c>
      <c r="L751" s="113" t="s">
        <v>251</v>
      </c>
      <c r="M751" s="402" t="s">
        <v>168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63"/>
    </row>
    <row r="752" spans="1:26" ht="15.75" hidden="1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606</v>
      </c>
      <c r="E752" s="110">
        <v>42726</v>
      </c>
      <c r="F752" s="111" t="s">
        <v>910</v>
      </c>
      <c r="G752" s="296" t="s">
        <v>909</v>
      </c>
      <c r="H752" s="4" t="s">
        <v>367</v>
      </c>
      <c r="I752" s="133">
        <v>24</v>
      </c>
      <c r="J752" s="133">
        <v>35000</v>
      </c>
      <c r="K752" s="13">
        <f>ROUND(I752*J752,0)</f>
        <v>840000</v>
      </c>
      <c r="L752" s="113" t="s">
        <v>251</v>
      </c>
      <c r="M752" s="402" t="s">
        <v>168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63"/>
    </row>
    <row r="753" spans="1:26" ht="15.75" hidden="1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606</v>
      </c>
      <c r="E753" s="110">
        <v>42726</v>
      </c>
      <c r="F753" s="109" t="s">
        <v>494</v>
      </c>
      <c r="G753" s="296" t="s">
        <v>909</v>
      </c>
      <c r="H753" s="4" t="s">
        <v>367</v>
      </c>
      <c r="I753" s="133"/>
      <c r="J753" s="133"/>
      <c r="K753" s="13">
        <v>1450531</v>
      </c>
      <c r="L753" s="113" t="s">
        <v>251</v>
      </c>
      <c r="M753" s="402" t="s">
        <v>350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63"/>
    </row>
    <row r="754" spans="1:26" ht="15.75" hidden="1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607</v>
      </c>
      <c r="E754" s="110">
        <v>42726</v>
      </c>
      <c r="F754" s="109" t="s">
        <v>811</v>
      </c>
      <c r="G754" s="296" t="s">
        <v>911</v>
      </c>
      <c r="H754" s="4" t="s">
        <v>812</v>
      </c>
      <c r="I754" s="133">
        <v>550</v>
      </c>
      <c r="J754" s="133">
        <v>7500</v>
      </c>
      <c r="K754" s="13">
        <f>ROUND(I754*J754,0)</f>
        <v>4125000</v>
      </c>
      <c r="L754" s="113" t="s">
        <v>251</v>
      </c>
      <c r="M754" s="402" t="s">
        <v>168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63"/>
    </row>
    <row r="755" spans="1:26" ht="15.75" hidden="1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607</v>
      </c>
      <c r="E755" s="110">
        <v>42726</v>
      </c>
      <c r="F755" s="109" t="s">
        <v>494</v>
      </c>
      <c r="G755" s="296" t="s">
        <v>911</v>
      </c>
      <c r="H755" s="4" t="s">
        <v>812</v>
      </c>
      <c r="I755" s="133"/>
      <c r="J755" s="133"/>
      <c r="K755" s="13">
        <v>412500</v>
      </c>
      <c r="L755" s="113" t="s">
        <v>251</v>
      </c>
      <c r="M755" s="402" t="s">
        <v>350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63"/>
    </row>
    <row r="756" spans="1:26" ht="15.75" hidden="1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1059</v>
      </c>
      <c r="E756" s="110">
        <v>42726</v>
      </c>
      <c r="F756" s="111" t="s">
        <v>482</v>
      </c>
      <c r="G756" s="296" t="s">
        <v>911</v>
      </c>
      <c r="H756" s="4" t="s">
        <v>812</v>
      </c>
      <c r="I756" s="134"/>
      <c r="J756" s="134"/>
      <c r="K756" s="13">
        <v>4537500</v>
      </c>
      <c r="L756" s="113" t="s">
        <v>46</v>
      </c>
      <c r="M756" s="402" t="s">
        <v>251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63"/>
    </row>
    <row r="757" spans="1:26" ht="15.75" hidden="1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608</v>
      </c>
      <c r="E757" s="110">
        <v>42727</v>
      </c>
      <c r="F757" s="109" t="s">
        <v>811</v>
      </c>
      <c r="G757" s="296" t="s">
        <v>912</v>
      </c>
      <c r="H757" s="4" t="s">
        <v>812</v>
      </c>
      <c r="I757" s="133">
        <v>2400</v>
      </c>
      <c r="J757" s="133">
        <v>7500</v>
      </c>
      <c r="K757" s="13">
        <f>ROUND(I757*J757,0)</f>
        <v>18000000</v>
      </c>
      <c r="L757" s="113" t="s">
        <v>251</v>
      </c>
      <c r="M757" s="402" t="s">
        <v>168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63"/>
    </row>
    <row r="758" spans="1:26" ht="15.75" hidden="1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608</v>
      </c>
      <c r="E758" s="110">
        <v>42727</v>
      </c>
      <c r="F758" s="109" t="s">
        <v>494</v>
      </c>
      <c r="G758" s="296" t="s">
        <v>912</v>
      </c>
      <c r="H758" s="4" t="s">
        <v>812</v>
      </c>
      <c r="I758" s="133"/>
      <c r="J758" s="133"/>
      <c r="K758" s="13">
        <v>1800000</v>
      </c>
      <c r="L758" s="113" t="s">
        <v>251</v>
      </c>
      <c r="M758" s="402" t="s">
        <v>350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63"/>
    </row>
    <row r="759" spans="1:26" ht="15.75" hidden="1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1060</v>
      </c>
      <c r="E759" s="110">
        <v>42727</v>
      </c>
      <c r="F759" s="111" t="s">
        <v>482</v>
      </c>
      <c r="G759" s="296" t="s">
        <v>912</v>
      </c>
      <c r="H759" s="4" t="s">
        <v>812</v>
      </c>
      <c r="I759" s="134"/>
      <c r="J759" s="134"/>
      <c r="K759" s="13">
        <v>19800000</v>
      </c>
      <c r="L759" s="113" t="s">
        <v>46</v>
      </c>
      <c r="M759" s="402" t="s">
        <v>251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63"/>
    </row>
    <row r="760" spans="1:26" ht="15.75" hidden="1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609</v>
      </c>
      <c r="E760" s="110">
        <v>42728</v>
      </c>
      <c r="F760" s="111" t="s">
        <v>914</v>
      </c>
      <c r="G760" s="296" t="s">
        <v>913</v>
      </c>
      <c r="H760" s="112" t="s">
        <v>681</v>
      </c>
      <c r="I760" s="133">
        <v>1010</v>
      </c>
      <c r="J760" s="133">
        <v>12700</v>
      </c>
      <c r="K760" s="13">
        <f>ROUND(I760*J760,0)</f>
        <v>12827000</v>
      </c>
      <c r="L760" s="113" t="s">
        <v>251</v>
      </c>
      <c r="M760" s="402" t="s">
        <v>168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63"/>
    </row>
    <row r="761" spans="1:26" ht="15.75" hidden="1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609</v>
      </c>
      <c r="E761" s="110">
        <v>42728</v>
      </c>
      <c r="F761" s="111" t="s">
        <v>915</v>
      </c>
      <c r="G761" s="296" t="s">
        <v>913</v>
      </c>
      <c r="H761" s="112" t="s">
        <v>681</v>
      </c>
      <c r="I761" s="133">
        <v>1006</v>
      </c>
      <c r="J761" s="133">
        <v>10900</v>
      </c>
      <c r="K761" s="13">
        <f>ROUND(I761*J761,0)</f>
        <v>10965400</v>
      </c>
      <c r="L761" s="113" t="s">
        <v>251</v>
      </c>
      <c r="M761" s="402" t="s">
        <v>168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63"/>
    </row>
    <row r="762" spans="1:26" ht="15.75" hidden="1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609</v>
      </c>
      <c r="E762" s="110">
        <v>42728</v>
      </c>
      <c r="F762" s="109" t="s">
        <v>494</v>
      </c>
      <c r="G762" s="296" t="s">
        <v>913</v>
      </c>
      <c r="H762" s="112" t="s">
        <v>681</v>
      </c>
      <c r="I762" s="133"/>
      <c r="J762" s="133"/>
      <c r="K762" s="13">
        <v>2379240</v>
      </c>
      <c r="L762" s="113" t="s">
        <v>251</v>
      </c>
      <c r="M762" s="402" t="s">
        <v>350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63"/>
    </row>
    <row r="763" spans="1:26" ht="15.75" hidden="1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610</v>
      </c>
      <c r="E763" s="110">
        <v>42728</v>
      </c>
      <c r="F763" s="109" t="s">
        <v>811</v>
      </c>
      <c r="G763" s="296" t="s">
        <v>916</v>
      </c>
      <c r="H763" s="4" t="s">
        <v>812</v>
      </c>
      <c r="I763" s="133">
        <v>2400</v>
      </c>
      <c r="J763" s="133">
        <v>7500</v>
      </c>
      <c r="K763" s="13">
        <f>ROUND(I763*J763,0)</f>
        <v>18000000</v>
      </c>
      <c r="L763" s="113" t="s">
        <v>251</v>
      </c>
      <c r="M763" s="402" t="s">
        <v>168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63"/>
    </row>
    <row r="764" spans="1:26" ht="15.75" hidden="1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610</v>
      </c>
      <c r="E764" s="110">
        <v>42728</v>
      </c>
      <c r="F764" s="109" t="s">
        <v>494</v>
      </c>
      <c r="G764" s="296" t="s">
        <v>916</v>
      </c>
      <c r="H764" s="4" t="s">
        <v>812</v>
      </c>
      <c r="I764" s="133"/>
      <c r="J764" s="133"/>
      <c r="K764" s="13">
        <v>1800000</v>
      </c>
      <c r="L764" s="113" t="s">
        <v>251</v>
      </c>
      <c r="M764" s="402" t="s">
        <v>350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63"/>
    </row>
    <row r="765" spans="1:26" ht="15.75" hidden="1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1061</v>
      </c>
      <c r="E765" s="110">
        <v>42728</v>
      </c>
      <c r="F765" s="111" t="s">
        <v>482</v>
      </c>
      <c r="G765" s="296" t="s">
        <v>916</v>
      </c>
      <c r="H765" s="4" t="s">
        <v>812</v>
      </c>
      <c r="I765" s="134"/>
      <c r="J765" s="134"/>
      <c r="K765" s="13">
        <v>19800000</v>
      </c>
      <c r="L765" s="113" t="s">
        <v>46</v>
      </c>
      <c r="M765" s="402" t="s">
        <v>251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63"/>
    </row>
    <row r="766" spans="1:26" ht="15.75" hidden="1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611</v>
      </c>
      <c r="E766" s="110">
        <v>42729</v>
      </c>
      <c r="F766" s="111" t="s">
        <v>918</v>
      </c>
      <c r="G766" s="296" t="s">
        <v>917</v>
      </c>
      <c r="H766" s="4" t="s">
        <v>919</v>
      </c>
      <c r="I766" s="133">
        <v>1070</v>
      </c>
      <c r="J766" s="133">
        <v>9700</v>
      </c>
      <c r="K766" s="13">
        <f>ROUND(I766*J766,0)</f>
        <v>10379000</v>
      </c>
      <c r="L766" s="113" t="s">
        <v>251</v>
      </c>
      <c r="M766" s="402" t="s">
        <v>168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63"/>
    </row>
    <row r="767" spans="1:26" ht="15.75" hidden="1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611</v>
      </c>
      <c r="E767" s="110">
        <v>42729</v>
      </c>
      <c r="F767" s="109" t="s">
        <v>494</v>
      </c>
      <c r="G767" s="296" t="s">
        <v>917</v>
      </c>
      <c r="H767" s="4" t="s">
        <v>919</v>
      </c>
      <c r="I767" s="133"/>
      <c r="J767" s="133"/>
      <c r="K767" s="13">
        <v>1037900</v>
      </c>
      <c r="L767" s="113" t="s">
        <v>251</v>
      </c>
      <c r="M767" s="402" t="s">
        <v>350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63"/>
    </row>
    <row r="768" spans="1:26" ht="15.75" hidden="1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612</v>
      </c>
      <c r="E768" s="110">
        <v>42729</v>
      </c>
      <c r="F768" s="109" t="s">
        <v>811</v>
      </c>
      <c r="G768" s="296" t="s">
        <v>920</v>
      </c>
      <c r="H768" s="4" t="s">
        <v>812</v>
      </c>
      <c r="I768" s="133">
        <v>2400</v>
      </c>
      <c r="J768" s="133">
        <v>7500</v>
      </c>
      <c r="K768" s="13">
        <f>ROUND(I768*J768,0)</f>
        <v>18000000</v>
      </c>
      <c r="L768" s="113" t="s">
        <v>251</v>
      </c>
      <c r="M768" s="402" t="s">
        <v>168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63"/>
    </row>
    <row r="769" spans="1:26" ht="15.75" hidden="1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612</v>
      </c>
      <c r="E769" s="110">
        <v>42729</v>
      </c>
      <c r="F769" s="109" t="s">
        <v>494</v>
      </c>
      <c r="G769" s="296" t="s">
        <v>920</v>
      </c>
      <c r="H769" s="4" t="s">
        <v>812</v>
      </c>
      <c r="I769" s="133"/>
      <c r="J769" s="133"/>
      <c r="K769" s="13">
        <v>1800000</v>
      </c>
      <c r="L769" s="113" t="s">
        <v>251</v>
      </c>
      <c r="M769" s="402" t="s">
        <v>350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63"/>
    </row>
    <row r="770" spans="1:26" ht="15.75" hidden="1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1062</v>
      </c>
      <c r="E770" s="110">
        <v>42729</v>
      </c>
      <c r="F770" s="111" t="s">
        <v>482</v>
      </c>
      <c r="G770" s="296" t="s">
        <v>920</v>
      </c>
      <c r="H770" s="4" t="s">
        <v>812</v>
      </c>
      <c r="I770" s="134"/>
      <c r="J770" s="134"/>
      <c r="K770" s="13">
        <v>19800000</v>
      </c>
      <c r="L770" s="113" t="s">
        <v>46</v>
      </c>
      <c r="M770" s="402" t="s">
        <v>251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6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1044</v>
      </c>
      <c r="E771" s="110">
        <v>42730</v>
      </c>
      <c r="F771" s="109" t="s">
        <v>771</v>
      </c>
      <c r="G771" s="298" t="s">
        <v>937</v>
      </c>
      <c r="H771" s="125" t="s">
        <v>938</v>
      </c>
      <c r="I771" s="133"/>
      <c r="J771" s="133"/>
      <c r="K771" s="13">
        <v>5005727</v>
      </c>
      <c r="L771" s="113" t="s">
        <v>253</v>
      </c>
      <c r="M771" s="402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6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1044</v>
      </c>
      <c r="E772" s="110">
        <v>42730</v>
      </c>
      <c r="F772" s="109" t="s">
        <v>772</v>
      </c>
      <c r="G772" s="298" t="s">
        <v>937</v>
      </c>
      <c r="H772" s="125" t="s">
        <v>938</v>
      </c>
      <c r="I772" s="133"/>
      <c r="J772" s="133"/>
      <c r="K772" s="13">
        <v>500573</v>
      </c>
      <c r="L772" s="113" t="s">
        <v>9</v>
      </c>
      <c r="M772" s="402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63">
        <v>4</v>
      </c>
    </row>
    <row r="773" spans="1:26" ht="15.75" hidden="1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949</v>
      </c>
      <c r="E773" s="110">
        <v>42730</v>
      </c>
      <c r="F773" s="109" t="s">
        <v>860</v>
      </c>
      <c r="G773" s="298" t="s">
        <v>764</v>
      </c>
      <c r="H773" s="112" t="s">
        <v>861</v>
      </c>
      <c r="I773" s="133">
        <v>400</v>
      </c>
      <c r="J773" s="133">
        <v>23500</v>
      </c>
      <c r="K773" s="13">
        <f>ROUND(I773*J773,0)</f>
        <v>9400000</v>
      </c>
      <c r="L773" s="113" t="s">
        <v>155</v>
      </c>
      <c r="M773" s="113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63">
        <v>4</v>
      </c>
    </row>
    <row r="774" spans="1:26" ht="15.75" hidden="1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949</v>
      </c>
      <c r="E774" s="110">
        <v>42730</v>
      </c>
      <c r="F774" s="109" t="s">
        <v>859</v>
      </c>
      <c r="G774" s="298" t="s">
        <v>764</v>
      </c>
      <c r="H774" s="112" t="s">
        <v>861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6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1045</v>
      </c>
      <c r="E775" s="110">
        <v>42730</v>
      </c>
      <c r="F775" s="111" t="s">
        <v>463</v>
      </c>
      <c r="G775" s="298" t="s">
        <v>764</v>
      </c>
      <c r="H775" s="112" t="s">
        <v>861</v>
      </c>
      <c r="I775" s="133"/>
      <c r="J775" s="133"/>
      <c r="K775" s="13">
        <v>10340000</v>
      </c>
      <c r="L775" s="113" t="s">
        <v>8</v>
      </c>
      <c r="M775" s="402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63"/>
    </row>
    <row r="776" spans="1:26" ht="15.75" hidden="1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613</v>
      </c>
      <c r="E776" s="110">
        <v>42730</v>
      </c>
      <c r="F776" s="109" t="s">
        <v>811</v>
      </c>
      <c r="G776" s="296" t="s">
        <v>921</v>
      </c>
      <c r="H776" s="4" t="s">
        <v>812</v>
      </c>
      <c r="I776" s="133">
        <v>1200</v>
      </c>
      <c r="J776" s="133">
        <v>7500</v>
      </c>
      <c r="K776" s="13">
        <f>ROUND(I776*J776,0)</f>
        <v>9000000</v>
      </c>
      <c r="L776" s="113" t="s">
        <v>251</v>
      </c>
      <c r="M776" s="402" t="s">
        <v>168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63"/>
    </row>
    <row r="777" spans="1:26" ht="15.75" hidden="1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613</v>
      </c>
      <c r="E777" s="110">
        <v>42730</v>
      </c>
      <c r="F777" s="109" t="s">
        <v>494</v>
      </c>
      <c r="G777" s="296" t="s">
        <v>921</v>
      </c>
      <c r="H777" s="4" t="s">
        <v>812</v>
      </c>
      <c r="I777" s="133"/>
      <c r="J777" s="133"/>
      <c r="K777" s="13">
        <v>900000</v>
      </c>
      <c r="L777" s="113" t="s">
        <v>251</v>
      </c>
      <c r="M777" s="402" t="s">
        <v>350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63"/>
    </row>
    <row r="778" spans="1:26" ht="15.75" hidden="1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1063</v>
      </c>
      <c r="E778" s="110">
        <v>42730</v>
      </c>
      <c r="F778" s="111" t="s">
        <v>482</v>
      </c>
      <c r="G778" s="296" t="s">
        <v>921</v>
      </c>
      <c r="H778" s="4" t="s">
        <v>812</v>
      </c>
      <c r="I778" s="134"/>
      <c r="J778" s="134"/>
      <c r="K778" s="13">
        <v>9900000</v>
      </c>
      <c r="L778" s="113" t="s">
        <v>46</v>
      </c>
      <c r="M778" s="402" t="s">
        <v>251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63"/>
    </row>
    <row r="779" spans="1:26" ht="15.75" hidden="1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950</v>
      </c>
      <c r="E779" s="110">
        <v>42731</v>
      </c>
      <c r="F779" s="109" t="s">
        <v>862</v>
      </c>
      <c r="G779" s="298" t="s">
        <v>765</v>
      </c>
      <c r="H779" s="112" t="s">
        <v>861</v>
      </c>
      <c r="I779" s="133">
        <v>2000</v>
      </c>
      <c r="J779" s="133">
        <v>9000</v>
      </c>
      <c r="K779" s="13">
        <f>ROUND(I779*J779,0)</f>
        <v>18000000</v>
      </c>
      <c r="L779" s="113" t="s">
        <v>155</v>
      </c>
      <c r="M779" s="113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63">
        <v>4</v>
      </c>
    </row>
    <row r="780" spans="1:26" ht="15.75" hidden="1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950</v>
      </c>
      <c r="E780" s="110">
        <v>42731</v>
      </c>
      <c r="F780" s="109" t="s">
        <v>869</v>
      </c>
      <c r="G780" s="298" t="s">
        <v>765</v>
      </c>
      <c r="H780" s="112" t="s">
        <v>861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6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1046</v>
      </c>
      <c r="E781" s="110">
        <v>42731</v>
      </c>
      <c r="F781" s="111" t="s">
        <v>463</v>
      </c>
      <c r="G781" s="298" t="s">
        <v>765</v>
      </c>
      <c r="H781" s="112" t="s">
        <v>861</v>
      </c>
      <c r="I781" s="133"/>
      <c r="J781" s="133"/>
      <c r="K781" s="13">
        <v>19800000</v>
      </c>
      <c r="L781" s="113" t="s">
        <v>8</v>
      </c>
      <c r="M781" s="402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63"/>
    </row>
    <row r="782" spans="1:26" ht="15.75" hidden="1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467</v>
      </c>
      <c r="E782" s="110">
        <v>42731</v>
      </c>
      <c r="F782" s="109" t="s">
        <v>482</v>
      </c>
      <c r="G782" s="111" t="s">
        <v>472</v>
      </c>
      <c r="H782" s="4" t="s">
        <v>621</v>
      </c>
      <c r="I782" s="133"/>
      <c r="J782" s="135"/>
      <c r="K782" s="13">
        <v>5689640</v>
      </c>
      <c r="L782" s="113" t="s">
        <v>24</v>
      </c>
      <c r="M782" s="402" t="s">
        <v>251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63"/>
    </row>
    <row r="783" spans="1:26" ht="15.75" hidden="1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961</v>
      </c>
      <c r="E783" s="110">
        <v>42731</v>
      </c>
      <c r="F783" s="109" t="s">
        <v>811</v>
      </c>
      <c r="G783" s="296" t="s">
        <v>922</v>
      </c>
      <c r="H783" s="4" t="s">
        <v>812</v>
      </c>
      <c r="I783" s="133">
        <v>1380</v>
      </c>
      <c r="J783" s="133">
        <v>7500</v>
      </c>
      <c r="K783" s="13">
        <f>ROUND(I783*J783,0)</f>
        <v>10350000</v>
      </c>
      <c r="L783" s="113" t="s">
        <v>251</v>
      </c>
      <c r="M783" s="402" t="s">
        <v>168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63"/>
    </row>
    <row r="784" spans="1:26" ht="15.75" hidden="1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961</v>
      </c>
      <c r="E784" s="110">
        <v>42731</v>
      </c>
      <c r="F784" s="109" t="s">
        <v>494</v>
      </c>
      <c r="G784" s="296" t="s">
        <v>922</v>
      </c>
      <c r="H784" s="4" t="s">
        <v>812</v>
      </c>
      <c r="I784" s="133"/>
      <c r="J784" s="133"/>
      <c r="K784" s="13">
        <v>1035000</v>
      </c>
      <c r="L784" s="113" t="s">
        <v>251</v>
      </c>
      <c r="M784" s="402" t="s">
        <v>350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63"/>
    </row>
    <row r="785" spans="1:26" ht="15.75" hidden="1" customHeight="1">
      <c r="A785" s="120" t="str">
        <f>IF(B785&lt;&gt;"",IF(AND(B785&gt;=_TM1,B785&lt;=_TM2,OR(TH!L785="1111",TH!M785="1111")),TH!D785,""),"")</f>
        <v>T46</v>
      </c>
      <c r="B785" s="12">
        <f t="shared" ref="B785:B843" si="29">IF(C785&lt;&gt;"",MONTH(C785),"")</f>
        <v>12</v>
      </c>
      <c r="C785" s="105">
        <f t="shared" si="28"/>
        <v>42731</v>
      </c>
      <c r="D785" s="105" t="s">
        <v>1064</v>
      </c>
      <c r="E785" s="110">
        <v>42731</v>
      </c>
      <c r="F785" s="111" t="s">
        <v>482</v>
      </c>
      <c r="G785" s="296" t="s">
        <v>922</v>
      </c>
      <c r="H785" s="4" t="s">
        <v>812</v>
      </c>
      <c r="I785" s="134"/>
      <c r="J785" s="134"/>
      <c r="K785" s="13">
        <v>11385000</v>
      </c>
      <c r="L785" s="113" t="s">
        <v>46</v>
      </c>
      <c r="M785" s="402" t="s">
        <v>251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63"/>
    </row>
    <row r="786" spans="1:26" ht="15.75" hidden="1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951</v>
      </c>
      <c r="E786" s="105">
        <v>42732</v>
      </c>
      <c r="F786" s="109" t="s">
        <v>442</v>
      </c>
      <c r="G786" s="296" t="s">
        <v>936</v>
      </c>
      <c r="H786" s="112" t="s">
        <v>440</v>
      </c>
      <c r="I786" s="133">
        <v>19710</v>
      </c>
      <c r="J786" s="133">
        <v>800</v>
      </c>
      <c r="K786" s="13">
        <f>ROUND(I786*J786,0)</f>
        <v>15768000</v>
      </c>
      <c r="L786" s="113" t="s">
        <v>155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63">
        <v>4</v>
      </c>
    </row>
    <row r="787" spans="1:26" ht="15.75" hidden="1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951</v>
      </c>
      <c r="E787" s="105">
        <v>42732</v>
      </c>
      <c r="F787" s="109" t="s">
        <v>443</v>
      </c>
      <c r="G787" s="296" t="s">
        <v>936</v>
      </c>
      <c r="H787" s="112" t="s">
        <v>440</v>
      </c>
      <c r="I787" s="133"/>
      <c r="J787" s="133"/>
      <c r="K787" s="401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6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1047</v>
      </c>
      <c r="E788" s="105">
        <v>42732</v>
      </c>
      <c r="F788" s="109" t="s">
        <v>463</v>
      </c>
      <c r="G788" s="296" t="s">
        <v>936</v>
      </c>
      <c r="H788" s="112" t="s">
        <v>440</v>
      </c>
      <c r="I788" s="133"/>
      <c r="J788" s="133"/>
      <c r="K788" s="401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63"/>
    </row>
    <row r="789" spans="1:26" ht="15.75" hidden="1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1065</v>
      </c>
      <c r="E789" s="110">
        <v>42732</v>
      </c>
      <c r="F789" s="111" t="s">
        <v>483</v>
      </c>
      <c r="G789" s="111" t="s">
        <v>472</v>
      </c>
      <c r="H789" s="112" t="s">
        <v>486</v>
      </c>
      <c r="I789" s="133"/>
      <c r="J789" s="135"/>
      <c r="K789" s="13">
        <v>5500000</v>
      </c>
      <c r="L789" s="113" t="s">
        <v>46</v>
      </c>
      <c r="M789" s="402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63"/>
    </row>
    <row r="790" spans="1:26" ht="15.75" hidden="1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962</v>
      </c>
      <c r="E790" s="110">
        <v>42732</v>
      </c>
      <c r="F790" s="109" t="s">
        <v>811</v>
      </c>
      <c r="G790" s="296" t="s">
        <v>923</v>
      </c>
      <c r="H790" s="4" t="s">
        <v>812</v>
      </c>
      <c r="I790" s="133">
        <v>2030</v>
      </c>
      <c r="J790" s="133">
        <v>7500</v>
      </c>
      <c r="K790" s="13">
        <f>ROUND(I790*J790,0)</f>
        <v>15225000</v>
      </c>
      <c r="L790" s="113" t="s">
        <v>251</v>
      </c>
      <c r="M790" s="402" t="s">
        <v>168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63"/>
    </row>
    <row r="791" spans="1:26" ht="15.75" hidden="1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962</v>
      </c>
      <c r="E791" s="110">
        <v>42732</v>
      </c>
      <c r="F791" s="109" t="s">
        <v>494</v>
      </c>
      <c r="G791" s="296" t="s">
        <v>923</v>
      </c>
      <c r="H791" s="4" t="s">
        <v>812</v>
      </c>
      <c r="I791" s="133"/>
      <c r="J791" s="133"/>
      <c r="K791" s="13">
        <v>1522500</v>
      </c>
      <c r="L791" s="113" t="s">
        <v>251</v>
      </c>
      <c r="M791" s="402" t="s">
        <v>350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63"/>
    </row>
    <row r="792" spans="1:26" ht="15.75" hidden="1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1066</v>
      </c>
      <c r="E792" s="110">
        <v>42732</v>
      </c>
      <c r="F792" s="111" t="s">
        <v>482</v>
      </c>
      <c r="G792" s="296" t="s">
        <v>923</v>
      </c>
      <c r="H792" s="4" t="s">
        <v>812</v>
      </c>
      <c r="I792" s="134"/>
      <c r="J792" s="134"/>
      <c r="K792" s="13">
        <v>16747500</v>
      </c>
      <c r="L792" s="113" t="s">
        <v>46</v>
      </c>
      <c r="M792" s="402" t="s">
        <v>251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63"/>
    </row>
    <row r="793" spans="1:26" ht="15.75" hidden="1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963</v>
      </c>
      <c r="E793" s="110">
        <v>42732</v>
      </c>
      <c r="F793" s="111" t="s">
        <v>959</v>
      </c>
      <c r="G793" s="296" t="s">
        <v>958</v>
      </c>
      <c r="H793" s="4" t="s">
        <v>960</v>
      </c>
      <c r="I793" s="134">
        <v>188</v>
      </c>
      <c r="J793" s="134">
        <v>14000</v>
      </c>
      <c r="K793" s="13">
        <f>ROUND(I793*J793,0)</f>
        <v>2632000</v>
      </c>
      <c r="L793" s="113" t="s">
        <v>251</v>
      </c>
      <c r="M793" s="402" t="s">
        <v>168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63"/>
    </row>
    <row r="794" spans="1:26" ht="15.75" hidden="1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963</v>
      </c>
      <c r="E794" s="110">
        <v>42732</v>
      </c>
      <c r="F794" s="109" t="s">
        <v>494</v>
      </c>
      <c r="G794" s="296" t="s">
        <v>958</v>
      </c>
      <c r="H794" s="4" t="s">
        <v>960</v>
      </c>
      <c r="I794" s="133"/>
      <c r="J794" s="133"/>
      <c r="K794" s="13">
        <v>263200</v>
      </c>
      <c r="L794" s="113" t="s">
        <v>251</v>
      </c>
      <c r="M794" s="402" t="s">
        <v>350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63"/>
    </row>
    <row r="795" spans="1:26" ht="15.75" hidden="1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964</v>
      </c>
      <c r="E795" s="110">
        <v>42732</v>
      </c>
      <c r="F795" s="111" t="s">
        <v>509</v>
      </c>
      <c r="G795" s="296" t="s">
        <v>925</v>
      </c>
      <c r="H795" s="4" t="s">
        <v>616</v>
      </c>
      <c r="I795" s="134">
        <v>209</v>
      </c>
      <c r="J795" s="134">
        <v>12900</v>
      </c>
      <c r="K795" s="13">
        <f>ROUND(I795*J795,0)</f>
        <v>2696100</v>
      </c>
      <c r="L795" s="113" t="s">
        <v>251</v>
      </c>
      <c r="M795" s="402" t="s">
        <v>168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63"/>
    </row>
    <row r="796" spans="1:26" ht="15.75" hidden="1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964</v>
      </c>
      <c r="E796" s="110">
        <v>42732</v>
      </c>
      <c r="F796" s="109" t="s">
        <v>494</v>
      </c>
      <c r="G796" s="296" t="s">
        <v>925</v>
      </c>
      <c r="H796" s="4" t="s">
        <v>616</v>
      </c>
      <c r="I796" s="133"/>
      <c r="J796" s="133"/>
      <c r="K796" s="13">
        <v>269610</v>
      </c>
      <c r="L796" s="113" t="s">
        <v>251</v>
      </c>
      <c r="M796" s="402" t="s">
        <v>350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63"/>
    </row>
    <row r="797" spans="1:26" ht="15.75" hidden="1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965</v>
      </c>
      <c r="E797" s="110">
        <v>42732</v>
      </c>
      <c r="F797" s="111" t="s">
        <v>926</v>
      </c>
      <c r="G797" s="296" t="s">
        <v>924</v>
      </c>
      <c r="H797" s="4" t="s">
        <v>844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251</v>
      </c>
      <c r="M797" s="402" t="s">
        <v>168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63"/>
    </row>
    <row r="798" spans="1:26" ht="15.75" hidden="1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965</v>
      </c>
      <c r="E798" s="110">
        <v>42732</v>
      </c>
      <c r="F798" s="111" t="s">
        <v>927</v>
      </c>
      <c r="G798" s="296" t="s">
        <v>924</v>
      </c>
      <c r="H798" s="4" t="s">
        <v>844</v>
      </c>
      <c r="I798" s="134">
        <v>244</v>
      </c>
      <c r="J798" s="133">
        <v>21542</v>
      </c>
      <c r="K798" s="13">
        <f t="shared" si="31"/>
        <v>5256248</v>
      </c>
      <c r="L798" s="113" t="s">
        <v>251</v>
      </c>
      <c r="M798" s="402" t="s">
        <v>168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63"/>
    </row>
    <row r="799" spans="1:26" ht="15.75" hidden="1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965</v>
      </c>
      <c r="E799" s="110">
        <v>42732</v>
      </c>
      <c r="F799" s="111" t="s">
        <v>928</v>
      </c>
      <c r="G799" s="296" t="s">
        <v>924</v>
      </c>
      <c r="H799" s="4" t="s">
        <v>844</v>
      </c>
      <c r="I799" s="134">
        <v>244</v>
      </c>
      <c r="J799" s="133">
        <v>905</v>
      </c>
      <c r="K799" s="13">
        <f t="shared" si="31"/>
        <v>220820</v>
      </c>
      <c r="L799" s="113" t="s">
        <v>251</v>
      </c>
      <c r="M799" s="402" t="s">
        <v>168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63"/>
    </row>
    <row r="800" spans="1:26" ht="15.75" hidden="1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965</v>
      </c>
      <c r="E800" s="110">
        <v>42732</v>
      </c>
      <c r="F800" s="111" t="s">
        <v>929</v>
      </c>
      <c r="G800" s="296" t="s">
        <v>924</v>
      </c>
      <c r="H800" s="4" t="s">
        <v>844</v>
      </c>
      <c r="I800" s="134">
        <v>244</v>
      </c>
      <c r="J800" s="133">
        <v>766</v>
      </c>
      <c r="K800" s="13">
        <f t="shared" si="31"/>
        <v>186904</v>
      </c>
      <c r="L800" s="113" t="s">
        <v>251</v>
      </c>
      <c r="M800" s="402" t="s">
        <v>168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63"/>
    </row>
    <row r="801" spans="1:26" ht="15.75" hidden="1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965</v>
      </c>
      <c r="E801" s="110">
        <v>42732</v>
      </c>
      <c r="F801" s="111" t="s">
        <v>930</v>
      </c>
      <c r="G801" s="296" t="s">
        <v>924</v>
      </c>
      <c r="H801" s="4" t="s">
        <v>844</v>
      </c>
      <c r="I801" s="134">
        <v>244</v>
      </c>
      <c r="J801" s="133">
        <v>593</v>
      </c>
      <c r="K801" s="13">
        <f t="shared" si="31"/>
        <v>144692</v>
      </c>
      <c r="L801" s="113" t="s">
        <v>251</v>
      </c>
      <c r="M801" s="402" t="s">
        <v>168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63"/>
    </row>
    <row r="802" spans="1:26" ht="15.75" hidden="1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965</v>
      </c>
      <c r="E802" s="110">
        <v>42732</v>
      </c>
      <c r="F802" s="111" t="s">
        <v>931</v>
      </c>
      <c r="G802" s="296" t="s">
        <v>924</v>
      </c>
      <c r="H802" s="4" t="s">
        <v>844</v>
      </c>
      <c r="I802" s="134">
        <v>244</v>
      </c>
      <c r="J802" s="134">
        <v>502</v>
      </c>
      <c r="K802" s="13">
        <f t="shared" si="31"/>
        <v>122488</v>
      </c>
      <c r="L802" s="113" t="s">
        <v>251</v>
      </c>
      <c r="M802" s="402" t="s">
        <v>168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63"/>
    </row>
    <row r="803" spans="1:26" ht="15.75" hidden="1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965</v>
      </c>
      <c r="E803" s="110">
        <v>42732</v>
      </c>
      <c r="F803" s="109" t="s">
        <v>494</v>
      </c>
      <c r="G803" s="296" t="s">
        <v>924</v>
      </c>
      <c r="H803" s="4" t="s">
        <v>844</v>
      </c>
      <c r="I803" s="133"/>
      <c r="J803" s="133"/>
      <c r="K803" s="13">
        <v>1150606</v>
      </c>
      <c r="L803" s="113" t="s">
        <v>251</v>
      </c>
      <c r="M803" s="402" t="s">
        <v>350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63"/>
    </row>
    <row r="804" spans="1:26" ht="15.75" hidden="1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467</v>
      </c>
      <c r="E804" s="110">
        <v>42733</v>
      </c>
      <c r="F804" s="109" t="s">
        <v>482</v>
      </c>
      <c r="G804" s="111" t="s">
        <v>472</v>
      </c>
      <c r="H804" s="4" t="s">
        <v>892</v>
      </c>
      <c r="I804" s="133"/>
      <c r="J804" s="135"/>
      <c r="K804" s="13">
        <v>9494100</v>
      </c>
      <c r="L804" s="113" t="s">
        <v>24</v>
      </c>
      <c r="M804" s="402" t="s">
        <v>251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6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1048</v>
      </c>
      <c r="E805" s="110">
        <v>42733</v>
      </c>
      <c r="F805" s="109" t="s">
        <v>1030</v>
      </c>
      <c r="G805" s="111" t="s">
        <v>472</v>
      </c>
      <c r="H805" s="4" t="s">
        <v>892</v>
      </c>
      <c r="I805" s="133"/>
      <c r="J805" s="135"/>
      <c r="K805" s="13">
        <v>7592200</v>
      </c>
      <c r="L805" s="113" t="s">
        <v>251</v>
      </c>
      <c r="M805" s="402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63"/>
    </row>
    <row r="806" spans="1:26" ht="15.75" hidden="1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966</v>
      </c>
      <c r="E806" s="110">
        <v>42733</v>
      </c>
      <c r="F806" s="111" t="s">
        <v>935</v>
      </c>
      <c r="G806" s="296" t="s">
        <v>932</v>
      </c>
      <c r="H806" s="4" t="s">
        <v>933</v>
      </c>
      <c r="I806" s="133">
        <v>650</v>
      </c>
      <c r="J806" s="133">
        <v>4500</v>
      </c>
      <c r="K806" s="13">
        <f>ROUND(I806*J806,0)</f>
        <v>2925000</v>
      </c>
      <c r="L806" s="113" t="s">
        <v>251</v>
      </c>
      <c r="M806" s="402" t="s">
        <v>168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63"/>
    </row>
    <row r="807" spans="1:26" ht="15.75" hidden="1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966</v>
      </c>
      <c r="E807" s="110">
        <v>42733</v>
      </c>
      <c r="F807" s="109" t="s">
        <v>494</v>
      </c>
      <c r="G807" s="296" t="s">
        <v>932</v>
      </c>
      <c r="H807" s="4" t="s">
        <v>933</v>
      </c>
      <c r="I807" s="133"/>
      <c r="J807" s="133"/>
      <c r="K807" s="13">
        <v>292500</v>
      </c>
      <c r="L807" s="113" t="s">
        <v>251</v>
      </c>
      <c r="M807" s="402" t="s">
        <v>350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63"/>
    </row>
    <row r="808" spans="1:26" ht="15.75" hidden="1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952</v>
      </c>
      <c r="E808" s="105">
        <v>42734</v>
      </c>
      <c r="F808" s="109" t="s">
        <v>442</v>
      </c>
      <c r="G808" s="296" t="s">
        <v>939</v>
      </c>
      <c r="H808" s="112" t="s">
        <v>440</v>
      </c>
      <c r="I808" s="133">
        <v>7860</v>
      </c>
      <c r="J808" s="133">
        <v>800</v>
      </c>
      <c r="K808" s="13">
        <f>ROUND(I808*J808,0)</f>
        <v>6288000</v>
      </c>
      <c r="L808" s="113" t="s">
        <v>155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63">
        <v>4</v>
      </c>
    </row>
    <row r="809" spans="1:26" ht="15.75" hidden="1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952</v>
      </c>
      <c r="E809" s="105">
        <v>42734</v>
      </c>
      <c r="F809" s="109" t="s">
        <v>443</v>
      </c>
      <c r="G809" s="296" t="s">
        <v>939</v>
      </c>
      <c r="H809" s="112" t="s">
        <v>440</v>
      </c>
      <c r="I809" s="133"/>
      <c r="J809" s="133"/>
      <c r="K809" s="401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6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1049</v>
      </c>
      <c r="E810" s="105">
        <v>42734</v>
      </c>
      <c r="F810" s="109" t="s">
        <v>463</v>
      </c>
      <c r="G810" s="296" t="s">
        <v>939</v>
      </c>
      <c r="H810" s="112" t="s">
        <v>440</v>
      </c>
      <c r="I810" s="133"/>
      <c r="J810" s="133"/>
      <c r="K810" s="401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63"/>
    </row>
    <row r="811" spans="1:26" ht="15.75" hidden="1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467</v>
      </c>
      <c r="E811" s="110">
        <v>42734</v>
      </c>
      <c r="F811" s="109" t="s">
        <v>482</v>
      </c>
      <c r="G811" s="111" t="s">
        <v>472</v>
      </c>
      <c r="H811" s="4" t="s">
        <v>844</v>
      </c>
      <c r="I811" s="133"/>
      <c r="J811" s="135"/>
      <c r="K811" s="13">
        <v>14794287</v>
      </c>
      <c r="L811" s="113" t="s">
        <v>24</v>
      </c>
      <c r="M811" s="402" t="s">
        <v>251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63"/>
    </row>
    <row r="812" spans="1:26" ht="15.75" hidden="1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1067</v>
      </c>
      <c r="E812" s="110">
        <v>42734</v>
      </c>
      <c r="F812" s="111" t="s">
        <v>483</v>
      </c>
      <c r="G812" s="111" t="s">
        <v>472</v>
      </c>
      <c r="H812" s="112" t="s">
        <v>473</v>
      </c>
      <c r="I812" s="133"/>
      <c r="J812" s="135"/>
      <c r="K812" s="13">
        <v>9500000</v>
      </c>
      <c r="L812" s="113" t="s">
        <v>46</v>
      </c>
      <c r="M812" s="402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63"/>
    </row>
    <row r="813" spans="1:26" ht="15.75" hidden="1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967</v>
      </c>
      <c r="E813" s="110">
        <v>42734</v>
      </c>
      <c r="F813" s="111" t="s">
        <v>522</v>
      </c>
      <c r="G813" s="296" t="s">
        <v>934</v>
      </c>
      <c r="H813" s="112" t="s">
        <v>614</v>
      </c>
      <c r="I813" s="133">
        <v>525</v>
      </c>
      <c r="J813" s="133">
        <v>11000</v>
      </c>
      <c r="K813" s="13">
        <f>ROUND(I813*J813,0)</f>
        <v>5775000</v>
      </c>
      <c r="L813" s="113" t="s">
        <v>251</v>
      </c>
      <c r="M813" s="402" t="s">
        <v>168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63"/>
    </row>
    <row r="814" spans="1:26" ht="15.75" hidden="1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967</v>
      </c>
      <c r="E814" s="110">
        <v>42734</v>
      </c>
      <c r="F814" s="109" t="s">
        <v>494</v>
      </c>
      <c r="G814" s="296" t="s">
        <v>934</v>
      </c>
      <c r="H814" s="112" t="s">
        <v>614</v>
      </c>
      <c r="I814" s="134"/>
      <c r="J814" s="134"/>
      <c r="K814" s="13">
        <v>577500</v>
      </c>
      <c r="L814" s="113" t="s">
        <v>251</v>
      </c>
      <c r="M814" s="402" t="s">
        <v>350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63"/>
    </row>
    <row r="815" spans="1:26" ht="15.75" hidden="1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968</v>
      </c>
      <c r="E815" s="110">
        <v>42734</v>
      </c>
      <c r="F815" s="111" t="s">
        <v>1083</v>
      </c>
      <c r="G815" s="296" t="s">
        <v>1081</v>
      </c>
      <c r="H815" s="4" t="s">
        <v>1082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251</v>
      </c>
      <c r="M815" s="402" t="s">
        <v>168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63"/>
    </row>
    <row r="816" spans="1:26" ht="15.75" hidden="1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968</v>
      </c>
      <c r="E816" s="110">
        <v>42734</v>
      </c>
      <c r="F816" s="111" t="s">
        <v>1084</v>
      </c>
      <c r="G816" s="296" t="s">
        <v>1081</v>
      </c>
      <c r="H816" s="4" t="s">
        <v>1082</v>
      </c>
      <c r="I816" s="133">
        <v>9730</v>
      </c>
      <c r="J816" s="133">
        <v>1102</v>
      </c>
      <c r="K816" s="13">
        <f t="shared" si="32"/>
        <v>10722460</v>
      </c>
      <c r="L816" s="113" t="s">
        <v>251</v>
      </c>
      <c r="M816" s="402" t="s">
        <v>168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63"/>
    </row>
    <row r="817" spans="1:26" ht="15.75" hidden="1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968</v>
      </c>
      <c r="E817" s="110">
        <v>42734</v>
      </c>
      <c r="F817" s="111" t="s">
        <v>1085</v>
      </c>
      <c r="G817" s="296" t="s">
        <v>1081</v>
      </c>
      <c r="H817" s="4" t="s">
        <v>1082</v>
      </c>
      <c r="I817" s="133">
        <v>375</v>
      </c>
      <c r="J817" s="133">
        <v>5348</v>
      </c>
      <c r="K817" s="13">
        <f t="shared" si="32"/>
        <v>2005500</v>
      </c>
      <c r="L817" s="113" t="s">
        <v>251</v>
      </c>
      <c r="M817" s="402" t="s">
        <v>168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63"/>
    </row>
    <row r="818" spans="1:26" ht="15.75" hidden="1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968</v>
      </c>
      <c r="E818" s="110">
        <v>42734</v>
      </c>
      <c r="F818" s="111" t="s">
        <v>1086</v>
      </c>
      <c r="G818" s="296" t="s">
        <v>1081</v>
      </c>
      <c r="H818" s="4" t="s">
        <v>1082</v>
      </c>
      <c r="I818" s="133">
        <v>500</v>
      </c>
      <c r="J818" s="133">
        <v>14400</v>
      </c>
      <c r="K818" s="13">
        <f t="shared" si="32"/>
        <v>7200000</v>
      </c>
      <c r="L818" s="113" t="s">
        <v>251</v>
      </c>
      <c r="M818" s="402" t="s">
        <v>168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63"/>
    </row>
    <row r="819" spans="1:26" ht="15.75" hidden="1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968</v>
      </c>
      <c r="E819" s="110">
        <v>42734</v>
      </c>
      <c r="F819" s="111" t="s">
        <v>1087</v>
      </c>
      <c r="G819" s="296" t="s">
        <v>1081</v>
      </c>
      <c r="H819" s="4" t="s">
        <v>1082</v>
      </c>
      <c r="I819" s="133">
        <v>2375</v>
      </c>
      <c r="J819" s="133">
        <v>820</v>
      </c>
      <c r="K819" s="13">
        <f t="shared" si="32"/>
        <v>1947500</v>
      </c>
      <c r="L819" s="113" t="s">
        <v>251</v>
      </c>
      <c r="M819" s="402" t="s">
        <v>168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63"/>
    </row>
    <row r="820" spans="1:26" ht="15.75" hidden="1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968</v>
      </c>
      <c r="E820" s="110">
        <v>42734</v>
      </c>
      <c r="F820" s="111" t="s">
        <v>1088</v>
      </c>
      <c r="G820" s="296" t="s">
        <v>1081</v>
      </c>
      <c r="H820" s="4" t="s">
        <v>1082</v>
      </c>
      <c r="I820" s="133">
        <v>200</v>
      </c>
      <c r="J820" s="133">
        <v>1804</v>
      </c>
      <c r="K820" s="13">
        <f t="shared" si="32"/>
        <v>360800</v>
      </c>
      <c r="L820" s="113" t="s">
        <v>251</v>
      </c>
      <c r="M820" s="402" t="s">
        <v>168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63"/>
    </row>
    <row r="821" spans="1:26" ht="15.75" hidden="1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968</v>
      </c>
      <c r="E821" s="110">
        <v>42734</v>
      </c>
      <c r="F821" s="111" t="s">
        <v>1089</v>
      </c>
      <c r="G821" s="296" t="s">
        <v>1081</v>
      </c>
      <c r="H821" s="4" t="s">
        <v>1082</v>
      </c>
      <c r="I821" s="133">
        <v>2000</v>
      </c>
      <c r="J821" s="133">
        <v>705</v>
      </c>
      <c r="K821" s="13">
        <f t="shared" si="32"/>
        <v>1410000</v>
      </c>
      <c r="L821" s="113" t="s">
        <v>251</v>
      </c>
      <c r="M821" s="402" t="s">
        <v>168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63"/>
    </row>
    <row r="822" spans="1:26" ht="15.75" hidden="1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968</v>
      </c>
      <c r="E822" s="110">
        <v>42734</v>
      </c>
      <c r="F822" s="109" t="s">
        <v>494</v>
      </c>
      <c r="G822" s="296" t="s">
        <v>1081</v>
      </c>
      <c r="H822" s="4" t="s">
        <v>1082</v>
      </c>
      <c r="I822" s="134"/>
      <c r="J822" s="134"/>
      <c r="K822" s="13">
        <v>3373826</v>
      </c>
      <c r="L822" s="113" t="s">
        <v>251</v>
      </c>
      <c r="M822" s="402" t="s">
        <v>350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63"/>
    </row>
    <row r="823" spans="1:26" ht="15.75" hidden="1" customHeight="1">
      <c r="A823" s="120" t="str">
        <f>IF(B823&lt;&gt;"",IF(AND(B823&gt;=_TM1,B823&lt;=_TM2,OR(TH!L823="1111",TH!M823="1111")),TH!D823,""),"")</f>
        <v/>
      </c>
      <c r="B823" s="580">
        <f t="shared" si="29"/>
        <v>12</v>
      </c>
      <c r="C823" s="557">
        <f t="shared" si="30"/>
        <v>42735</v>
      </c>
      <c r="D823" s="557" t="s">
        <v>323</v>
      </c>
      <c r="E823" s="557">
        <v>42735</v>
      </c>
      <c r="F823" s="560" t="s">
        <v>819</v>
      </c>
      <c r="G823" s="576"/>
      <c r="H823" s="577"/>
      <c r="I823" s="559"/>
      <c r="J823" s="559"/>
      <c r="K823" s="562">
        <v>4405000</v>
      </c>
      <c r="L823" s="578" t="s">
        <v>82</v>
      </c>
      <c r="M823" s="578" t="s">
        <v>254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79"/>
    </row>
    <row r="824" spans="1:26" ht="15.75" hidden="1" customHeight="1">
      <c r="A824" s="120" t="str">
        <f>IF(B824&lt;&gt;"",IF(AND(B824&gt;=_TM1,B824&lt;=_TM2,OR(TH!L824="1111",TH!M824="1111")),TH!D824,""),"")</f>
        <v/>
      </c>
      <c r="B824" s="580">
        <f t="shared" si="29"/>
        <v>12</v>
      </c>
      <c r="C824" s="557">
        <f t="shared" si="30"/>
        <v>42735</v>
      </c>
      <c r="D824" s="557" t="s">
        <v>323</v>
      </c>
      <c r="E824" s="557">
        <v>42735</v>
      </c>
      <c r="F824" s="560" t="s">
        <v>820</v>
      </c>
      <c r="G824" s="576"/>
      <c r="H824" s="577"/>
      <c r="I824" s="559"/>
      <c r="J824" s="559"/>
      <c r="K824" s="562">
        <v>14020000</v>
      </c>
      <c r="L824" s="578" t="s">
        <v>159</v>
      </c>
      <c r="M824" s="578" t="s">
        <v>254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79"/>
    </row>
    <row r="825" spans="1:26" ht="15.75" hidden="1" customHeight="1">
      <c r="A825" s="120" t="str">
        <f>IF(B825&lt;&gt;"",IF(AND(B825&gt;=_TM1,B825&lt;=_TM2,OR(TH!L825="1111",TH!M825="1111")),TH!D825,""),"")</f>
        <v>C36</v>
      </c>
      <c r="B825" s="580">
        <f t="shared" si="29"/>
        <v>12</v>
      </c>
      <c r="C825" s="557">
        <f t="shared" si="30"/>
        <v>42735</v>
      </c>
      <c r="D825" s="557" t="s">
        <v>1050</v>
      </c>
      <c r="E825" s="557">
        <v>42735</v>
      </c>
      <c r="F825" s="560" t="str">
        <f>"Thanh toán tiền lương tháng "&amp;MONTH(E825)&amp;"/"&amp;YEAR(E825)</f>
        <v>Thanh toán tiền lương tháng 12/2016</v>
      </c>
      <c r="G825" s="576"/>
      <c r="H825" s="577" t="s">
        <v>794</v>
      </c>
      <c r="I825" s="559"/>
      <c r="J825" s="559"/>
      <c r="K825" s="562">
        <f>K823+K824</f>
        <v>18425000</v>
      </c>
      <c r="L825" s="578" t="s">
        <v>254</v>
      </c>
      <c r="M825" s="57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79"/>
    </row>
    <row r="826" spans="1:26" ht="15.75" hidden="1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1079</v>
      </c>
      <c r="E826" s="105">
        <v>42735</v>
      </c>
      <c r="F826" s="109" t="s">
        <v>877</v>
      </c>
      <c r="G826" s="298" t="s">
        <v>954</v>
      </c>
      <c r="H826" s="4" t="s">
        <v>879</v>
      </c>
      <c r="I826" s="133">
        <v>25500</v>
      </c>
      <c r="J826" s="133">
        <v>8400</v>
      </c>
      <c r="K826" s="13">
        <f>ROUND(I826*J826,0)</f>
        <v>214200000</v>
      </c>
      <c r="L826" s="113" t="s">
        <v>153</v>
      </c>
      <c r="M826" s="402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63">
        <v>4</v>
      </c>
    </row>
    <row r="827" spans="1:26" ht="15.75" hidden="1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1079</v>
      </c>
      <c r="E827" s="105">
        <v>42735</v>
      </c>
      <c r="F827" s="109" t="s">
        <v>878</v>
      </c>
      <c r="G827" s="298" t="s">
        <v>954</v>
      </c>
      <c r="H827" s="4" t="s">
        <v>879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63">
        <v>4</v>
      </c>
    </row>
    <row r="828" spans="1:26" ht="15.75" hidden="1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467</v>
      </c>
      <c r="E828" s="110">
        <v>42735</v>
      </c>
      <c r="F828" s="109" t="s">
        <v>474</v>
      </c>
      <c r="G828" s="111" t="s">
        <v>472</v>
      </c>
      <c r="H828" s="112"/>
      <c r="I828" s="133"/>
      <c r="J828" s="135"/>
      <c r="K828" s="13">
        <v>2749</v>
      </c>
      <c r="L828" s="113" t="s">
        <v>24</v>
      </c>
      <c r="M828" s="402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6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468</v>
      </c>
      <c r="E829" s="110">
        <v>42735</v>
      </c>
      <c r="F829" s="111" t="s">
        <v>475</v>
      </c>
      <c r="G829" s="111" t="s">
        <v>472</v>
      </c>
      <c r="H829" s="112"/>
      <c r="I829" s="133"/>
      <c r="J829" s="135"/>
      <c r="K829" s="13">
        <v>10000</v>
      </c>
      <c r="L829" s="113" t="s">
        <v>82</v>
      </c>
      <c r="M829" s="402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6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468</v>
      </c>
      <c r="E830" s="110">
        <v>42735</v>
      </c>
      <c r="F830" s="111" t="s">
        <v>476</v>
      </c>
      <c r="G830" s="111" t="s">
        <v>472</v>
      </c>
      <c r="H830" s="112"/>
      <c r="I830" s="133"/>
      <c r="J830" s="135"/>
      <c r="K830" s="13">
        <v>1000</v>
      </c>
      <c r="L830" s="113" t="s">
        <v>9</v>
      </c>
      <c r="M830" s="402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6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1051</v>
      </c>
      <c r="E831" s="110">
        <v>42735</v>
      </c>
      <c r="F831" s="109" t="s">
        <v>982</v>
      </c>
      <c r="G831" s="296" t="s">
        <v>984</v>
      </c>
      <c r="H831" s="112" t="s">
        <v>985</v>
      </c>
      <c r="I831" s="133"/>
      <c r="J831" s="133"/>
      <c r="K831" s="401">
        <v>50370</v>
      </c>
      <c r="L831" s="402" t="s">
        <v>82</v>
      </c>
      <c r="M831" s="402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6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1051</v>
      </c>
      <c r="E832" s="110">
        <v>42735</v>
      </c>
      <c r="F832" s="109" t="s">
        <v>983</v>
      </c>
      <c r="G832" s="296" t="s">
        <v>984</v>
      </c>
      <c r="H832" s="112" t="s">
        <v>985</v>
      </c>
      <c r="I832" s="133"/>
      <c r="J832" s="133"/>
      <c r="K832" s="401">
        <v>5037</v>
      </c>
      <c r="L832" s="402" t="s">
        <v>9</v>
      </c>
      <c r="M832" s="402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6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1052</v>
      </c>
      <c r="E833" s="110">
        <v>42735</v>
      </c>
      <c r="F833" s="109" t="s">
        <v>624</v>
      </c>
      <c r="G833" s="296"/>
      <c r="H833" s="112" t="s">
        <v>486</v>
      </c>
      <c r="I833" s="133"/>
      <c r="J833" s="133"/>
      <c r="K833" s="401">
        <f>ROUND((2*5000+3*10000+10*15000+2*25000+30000+40000)/1.1,0)</f>
        <v>281818</v>
      </c>
      <c r="L833" s="402" t="s">
        <v>253</v>
      </c>
      <c r="M833" s="402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6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1052</v>
      </c>
      <c r="E834" s="110">
        <v>42735</v>
      </c>
      <c r="F834" s="109" t="s">
        <v>625</v>
      </c>
      <c r="G834" s="296"/>
      <c r="H834" s="112" t="s">
        <v>486</v>
      </c>
      <c r="I834" s="133"/>
      <c r="J834" s="133"/>
      <c r="K834" s="401">
        <v>28182</v>
      </c>
      <c r="L834" s="402" t="s">
        <v>9</v>
      </c>
      <c r="M834" s="402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63">
        <v>4</v>
      </c>
    </row>
    <row r="835" spans="1:26" ht="15.75" hidden="1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1080</v>
      </c>
      <c r="E835" s="110">
        <v>42735</v>
      </c>
      <c r="F835" s="111" t="s">
        <v>500</v>
      </c>
      <c r="G835" s="296" t="s">
        <v>942</v>
      </c>
      <c r="H835" s="4" t="s">
        <v>365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251</v>
      </c>
      <c r="M835" s="402" t="s">
        <v>168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63"/>
    </row>
    <row r="836" spans="1:26" ht="15.75" hidden="1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1080</v>
      </c>
      <c r="E836" s="110">
        <v>42735</v>
      </c>
      <c r="F836" s="111" t="s">
        <v>375</v>
      </c>
      <c r="G836" s="296" t="s">
        <v>942</v>
      </c>
      <c r="H836" s="4" t="s">
        <v>365</v>
      </c>
      <c r="I836" s="134">
        <v>3616</v>
      </c>
      <c r="J836" s="133">
        <v>1300</v>
      </c>
      <c r="K836" s="13">
        <f>ROUND(I836*J836,0)</f>
        <v>4700800</v>
      </c>
      <c r="L836" s="113" t="s">
        <v>251</v>
      </c>
      <c r="M836" s="402" t="s">
        <v>168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63"/>
    </row>
    <row r="837" spans="1:26" ht="15.75" hidden="1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1080</v>
      </c>
      <c r="E837" s="110">
        <v>42735</v>
      </c>
      <c r="F837" s="109" t="s">
        <v>494</v>
      </c>
      <c r="G837" s="296" t="s">
        <v>942</v>
      </c>
      <c r="H837" s="4" t="s">
        <v>365</v>
      </c>
      <c r="I837" s="133"/>
      <c r="J837" s="133"/>
      <c r="K837" s="13">
        <v>2965120</v>
      </c>
      <c r="L837" s="113" t="s">
        <v>251</v>
      </c>
      <c r="M837" s="402" t="s">
        <v>350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63"/>
    </row>
    <row r="838" spans="1:26" ht="15.75" hidden="1" customHeight="1">
      <c r="A838" s="120" t="str">
        <f>IF(B838&lt;&gt;"",IF(AND(B838&gt;=_TM1,B838&lt;=_TM2,OR(TH!L838="1111",TH!M838="1111")),TH!D838,""),"")</f>
        <v/>
      </c>
      <c r="B838" s="568">
        <f t="shared" si="29"/>
        <v>8</v>
      </c>
      <c r="C838" s="569">
        <f t="shared" si="30"/>
        <v>42599</v>
      </c>
      <c r="D838" s="552" t="s">
        <v>1020</v>
      </c>
      <c r="E838" s="552">
        <v>42599</v>
      </c>
      <c r="F838" s="553" t="s">
        <v>447</v>
      </c>
      <c r="G838" s="553" t="s">
        <v>726</v>
      </c>
      <c r="H838" s="570" t="s">
        <v>615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50" t="s">
        <v>166</v>
      </c>
      <c r="M838" s="550" t="s">
        <v>153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63"/>
    </row>
    <row r="839" spans="1:26" ht="15.75" hidden="1" customHeight="1">
      <c r="A839" s="120" t="str">
        <f>IF(B839&lt;&gt;"",IF(AND(B839&gt;=_TM1,B839&lt;=_TM2,OR(TH!L839="1111",TH!M839="1111")),TH!D839,""),"")</f>
        <v/>
      </c>
      <c r="B839" s="568">
        <f t="shared" si="29"/>
        <v>8</v>
      </c>
      <c r="C839" s="569">
        <f t="shared" si="30"/>
        <v>42601</v>
      </c>
      <c r="D839" s="552" t="s">
        <v>1020</v>
      </c>
      <c r="E839" s="552">
        <v>42601</v>
      </c>
      <c r="F839" s="553" t="s">
        <v>447</v>
      </c>
      <c r="G839" s="553" t="s">
        <v>727</v>
      </c>
      <c r="H839" s="553" t="s">
        <v>549</v>
      </c>
      <c r="I839" s="131">
        <v>166</v>
      </c>
      <c r="J839" s="131">
        <v>8900</v>
      </c>
      <c r="K839" s="21">
        <f t="shared" si="33"/>
        <v>1477400</v>
      </c>
      <c r="L839" s="550" t="s">
        <v>166</v>
      </c>
      <c r="M839" s="550" t="s">
        <v>153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63"/>
    </row>
    <row r="840" spans="1:26" ht="15.75" hidden="1" customHeight="1">
      <c r="A840" s="120" t="str">
        <f>IF(B840&lt;&gt;"",IF(AND(B840&gt;=_TM1,B840&lt;=_TM2,OR(TH!L840="1111",TH!M840="1111")),TH!D840,""),"")</f>
        <v/>
      </c>
      <c r="B840" s="568">
        <f t="shared" si="29"/>
        <v>9</v>
      </c>
      <c r="C840" s="569">
        <f t="shared" si="30"/>
        <v>42619</v>
      </c>
      <c r="D840" s="552" t="s">
        <v>1020</v>
      </c>
      <c r="E840" s="552">
        <v>42619</v>
      </c>
      <c r="F840" s="553" t="s">
        <v>447</v>
      </c>
      <c r="G840" s="554" t="s">
        <v>745</v>
      </c>
      <c r="H840" s="571" t="s">
        <v>615</v>
      </c>
      <c r="I840" s="572">
        <v>212</v>
      </c>
      <c r="J840" s="131">
        <v>8900</v>
      </c>
      <c r="K840" s="21">
        <f t="shared" si="33"/>
        <v>1886800</v>
      </c>
      <c r="L840" s="550" t="s">
        <v>166</v>
      </c>
      <c r="M840" s="550" t="s">
        <v>153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63"/>
    </row>
    <row r="841" spans="1:26" ht="15.75" hidden="1" customHeight="1">
      <c r="A841" s="120" t="str">
        <f>IF(B841&lt;&gt;"",IF(AND(B841&gt;=_TM1,B841&lt;=_TM2,OR(TH!L841="1111",TH!M841="1111")),TH!D841,""),"")</f>
        <v/>
      </c>
      <c r="B841" s="568">
        <f t="shared" si="29"/>
        <v>9</v>
      </c>
      <c r="C841" s="569">
        <f t="shared" si="30"/>
        <v>42619</v>
      </c>
      <c r="D841" s="552" t="s">
        <v>1020</v>
      </c>
      <c r="E841" s="552">
        <v>42619</v>
      </c>
      <c r="F841" s="553" t="s">
        <v>447</v>
      </c>
      <c r="G841" s="554" t="s">
        <v>747</v>
      </c>
      <c r="H841" s="571" t="s">
        <v>549</v>
      </c>
      <c r="I841" s="131">
        <v>247</v>
      </c>
      <c r="J841" s="131">
        <v>8900</v>
      </c>
      <c r="K841" s="21">
        <f t="shared" si="33"/>
        <v>2198300</v>
      </c>
      <c r="L841" s="550" t="s">
        <v>166</v>
      </c>
      <c r="M841" s="550" t="s">
        <v>153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63"/>
    </row>
    <row r="842" spans="1:26" ht="15.75" hidden="1" customHeight="1">
      <c r="A842" s="120" t="str">
        <f>IF(B842&lt;&gt;"",IF(AND(B842&gt;=_TM1,B842&lt;=_TM2,OR(TH!L842="1111",TH!M842="1111")),TH!D842,""),"")</f>
        <v/>
      </c>
      <c r="B842" s="568">
        <f t="shared" si="29"/>
        <v>9</v>
      </c>
      <c r="C842" s="569">
        <f t="shared" si="30"/>
        <v>42640</v>
      </c>
      <c r="D842" s="552" t="s">
        <v>1020</v>
      </c>
      <c r="E842" s="552">
        <v>42640</v>
      </c>
      <c r="F842" s="553" t="s">
        <v>447</v>
      </c>
      <c r="G842" s="554" t="s">
        <v>432</v>
      </c>
      <c r="H842" s="571" t="s">
        <v>549</v>
      </c>
      <c r="I842" s="131">
        <v>309</v>
      </c>
      <c r="J842" s="131">
        <v>8900</v>
      </c>
      <c r="K842" s="21">
        <f t="shared" si="33"/>
        <v>2750100</v>
      </c>
      <c r="L842" s="550" t="s">
        <v>166</v>
      </c>
      <c r="M842" s="550" t="s">
        <v>153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63"/>
    </row>
    <row r="843" spans="1:26" ht="15.75" hidden="1" customHeight="1">
      <c r="A843" s="120" t="str">
        <f>IF(B843&lt;&gt;"",IF(AND(B843&gt;=_TM1,B843&lt;=_TM2,OR(TH!L843="1111",TH!M843="1111")),TH!D843,""),"")</f>
        <v/>
      </c>
      <c r="B843" s="568">
        <f t="shared" si="29"/>
        <v>12</v>
      </c>
      <c r="C843" s="569">
        <f t="shared" si="30"/>
        <v>42724</v>
      </c>
      <c r="D843" s="552" t="s">
        <v>1020</v>
      </c>
      <c r="E843" s="552">
        <v>42724</v>
      </c>
      <c r="F843" s="553" t="s">
        <v>447</v>
      </c>
      <c r="G843" s="581" t="s">
        <v>888</v>
      </c>
      <c r="H843" s="571" t="s">
        <v>615</v>
      </c>
      <c r="I843" s="131">
        <v>243</v>
      </c>
      <c r="J843" s="131">
        <v>8900</v>
      </c>
      <c r="K843" s="21">
        <f t="shared" si="33"/>
        <v>2162700</v>
      </c>
      <c r="L843" s="550" t="s">
        <v>166</v>
      </c>
      <c r="M843" s="550" t="s">
        <v>153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63"/>
    </row>
    <row r="844" spans="1:26" ht="15.75" hidden="1" customHeight="1">
      <c r="A844" s="120" t="str">
        <f>IF(B844&lt;&gt;"",IF(AND(B844&gt;=_TM1,B844&lt;=_TM2,OR(TH!L844="1111",TH!M844="1111")),TH!D844,""),"")</f>
        <v/>
      </c>
      <c r="B844" s="542">
        <f t="shared" ref="B844:B868" si="34">IF(C844&lt;&gt;"",MONTH(C844),"")</f>
        <v>6</v>
      </c>
      <c r="C844" s="543">
        <f t="shared" ref="C844:C849" si="35">E844</f>
        <v>42529</v>
      </c>
      <c r="D844" s="544" t="s">
        <v>1019</v>
      </c>
      <c r="E844" s="544">
        <v>42529</v>
      </c>
      <c r="F844" s="545" t="s">
        <v>403</v>
      </c>
      <c r="G844" s="545"/>
      <c r="H844" s="584" t="s">
        <v>1069</v>
      </c>
      <c r="I844" s="548">
        <v>10288</v>
      </c>
      <c r="J844" s="548">
        <v>7500</v>
      </c>
      <c r="K844" s="551">
        <f t="shared" ref="K844" si="36">ROUND(I844*J844,0)</f>
        <v>77160000</v>
      </c>
      <c r="L844" s="556" t="s">
        <v>159</v>
      </c>
      <c r="M844" s="556" t="s">
        <v>153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65"/>
    </row>
    <row r="845" spans="1:26" ht="15.75" hidden="1" customHeight="1">
      <c r="A845" s="120" t="str">
        <f>IF(B845&lt;&gt;"",IF(AND(B845&gt;=_TM1,B845&lt;=_TM2,OR(TH!L845="1111",TH!M845="1111")),TH!D845,""),"")</f>
        <v/>
      </c>
      <c r="B845" s="12">
        <f t="shared" si="34"/>
        <v>6</v>
      </c>
      <c r="C845" s="105">
        <f t="shared" si="35"/>
        <v>42542</v>
      </c>
      <c r="D845" s="110" t="s">
        <v>1019</v>
      </c>
      <c r="E845" s="486">
        <v>42542</v>
      </c>
      <c r="F845" s="111" t="s">
        <v>403</v>
      </c>
      <c r="G845" s="111"/>
      <c r="H845" s="125" t="s">
        <v>1069</v>
      </c>
      <c r="I845" s="136">
        <v>4094</v>
      </c>
      <c r="J845" s="136">
        <v>7600</v>
      </c>
      <c r="K845" s="13">
        <f t="shared" ref="K845:K862" si="37">ROUND(I845*J845,0)</f>
        <v>31114400</v>
      </c>
      <c r="L845" s="113" t="s">
        <v>159</v>
      </c>
      <c r="M845" s="113" t="s">
        <v>153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64"/>
    </row>
    <row r="846" spans="1:26" ht="15.75" hidden="1" customHeight="1">
      <c r="A846" s="120" t="str">
        <f>IF(B846&lt;&gt;"",IF(AND(B846&gt;=_TM1,B846&lt;=_TM2,OR(TH!L846="1111",TH!M846="1111")),TH!D846,""),"")</f>
        <v/>
      </c>
      <c r="B846" s="12">
        <f t="shared" si="34"/>
        <v>6</v>
      </c>
      <c r="C846" s="105">
        <f t="shared" si="35"/>
        <v>42542</v>
      </c>
      <c r="D846" s="110" t="s">
        <v>1019</v>
      </c>
      <c r="E846" s="110">
        <v>42542</v>
      </c>
      <c r="F846" s="111" t="s">
        <v>405</v>
      </c>
      <c r="G846" s="298"/>
      <c r="H846" s="125" t="s">
        <v>1069</v>
      </c>
      <c r="I846" s="133">
        <v>4522</v>
      </c>
      <c r="J846" s="133">
        <v>8500</v>
      </c>
      <c r="K846" s="13">
        <f t="shared" si="37"/>
        <v>38437000</v>
      </c>
      <c r="L846" s="113" t="s">
        <v>159</v>
      </c>
      <c r="M846" s="113" t="s">
        <v>153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64"/>
    </row>
    <row r="847" spans="1:26" ht="15.75" hidden="1" customHeight="1">
      <c r="A847" s="120" t="str">
        <f>IF(B847&lt;&gt;"",IF(AND(B847&gt;=_TM1,B847&lt;=_TM2,OR(TH!L847="1111",TH!M847="1111")),TH!D847,""),"")</f>
        <v/>
      </c>
      <c r="B847" s="12">
        <f t="shared" si="34"/>
        <v>6</v>
      </c>
      <c r="C847" s="105">
        <f t="shared" si="35"/>
        <v>42542</v>
      </c>
      <c r="D847" s="110" t="s">
        <v>1019</v>
      </c>
      <c r="E847" s="110">
        <v>42542</v>
      </c>
      <c r="F847" s="111" t="s">
        <v>448</v>
      </c>
      <c r="G847" s="111"/>
      <c r="H847" s="125" t="s">
        <v>1069</v>
      </c>
      <c r="I847" s="133">
        <v>2633</v>
      </c>
      <c r="J847" s="133">
        <v>8500</v>
      </c>
      <c r="K847" s="13">
        <f t="shared" si="37"/>
        <v>22380500</v>
      </c>
      <c r="L847" s="113" t="s">
        <v>159</v>
      </c>
      <c r="M847" s="113" t="s">
        <v>153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64"/>
    </row>
    <row r="848" spans="1:26" ht="15.75" hidden="1" customHeight="1">
      <c r="A848" s="120" t="str">
        <f>IF(B848&lt;&gt;"",IF(AND(B848&gt;=_TM1,B848&lt;=_TM2,OR(TH!L848="1111",TH!M848="1111")),TH!D848,""),"")</f>
        <v/>
      </c>
      <c r="B848" s="12">
        <f t="shared" si="34"/>
        <v>6</v>
      </c>
      <c r="C848" s="105">
        <f t="shared" si="35"/>
        <v>42551</v>
      </c>
      <c r="D848" s="110" t="s">
        <v>1019</v>
      </c>
      <c r="E848" s="110">
        <v>42551</v>
      </c>
      <c r="F848" s="111" t="s">
        <v>403</v>
      </c>
      <c r="G848" s="298"/>
      <c r="H848" s="125" t="s">
        <v>1069</v>
      </c>
      <c r="I848" s="133">
        <v>6226</v>
      </c>
      <c r="J848" s="133">
        <v>7600</v>
      </c>
      <c r="K848" s="13">
        <f t="shared" si="37"/>
        <v>47317600</v>
      </c>
      <c r="L848" s="113" t="s">
        <v>159</v>
      </c>
      <c r="M848" s="113" t="s">
        <v>153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64"/>
    </row>
    <row r="849" spans="1:26" ht="15.75" hidden="1" customHeight="1">
      <c r="A849" s="120" t="str">
        <f>IF(B849&lt;&gt;"",IF(AND(B849&gt;=_TM1,B849&lt;=_TM2,OR(TH!L849="1111",TH!M849="1111")),TH!D849,""),"")</f>
        <v/>
      </c>
      <c r="B849" s="12">
        <f t="shared" si="34"/>
        <v>6</v>
      </c>
      <c r="C849" s="105">
        <f t="shared" si="35"/>
        <v>42551</v>
      </c>
      <c r="D849" s="110" t="s">
        <v>1019</v>
      </c>
      <c r="E849" s="110">
        <v>42551</v>
      </c>
      <c r="F849" s="111" t="s">
        <v>405</v>
      </c>
      <c r="G849" s="111"/>
      <c r="H849" s="125" t="s">
        <v>1069</v>
      </c>
      <c r="I849" s="133">
        <v>8730</v>
      </c>
      <c r="J849" s="133">
        <v>8500</v>
      </c>
      <c r="K849" s="13">
        <f t="shared" si="37"/>
        <v>74205000</v>
      </c>
      <c r="L849" s="113" t="s">
        <v>159</v>
      </c>
      <c r="M849" s="113" t="s">
        <v>153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64"/>
    </row>
    <row r="850" spans="1:26" ht="15.75" hidden="1" customHeight="1">
      <c r="A850" s="120" t="str">
        <f>IF(B850&lt;&gt;"",IF(AND(B850&gt;=_TM1,B850&lt;=_TM2,OR(TH!L850="1111",TH!M850="1111")),TH!D850,""),"")</f>
        <v/>
      </c>
      <c r="B850" s="12">
        <f t="shared" si="34"/>
        <v>6</v>
      </c>
      <c r="C850" s="105">
        <f t="shared" ref="C850:C916" si="38">E850</f>
        <v>42551</v>
      </c>
      <c r="D850" s="110" t="s">
        <v>1019</v>
      </c>
      <c r="E850" s="110">
        <v>42551</v>
      </c>
      <c r="F850" s="111" t="s">
        <v>448</v>
      </c>
      <c r="G850" s="111"/>
      <c r="H850" s="125" t="s">
        <v>1069</v>
      </c>
      <c r="I850" s="133">
        <v>8191</v>
      </c>
      <c r="J850" s="133">
        <v>8500</v>
      </c>
      <c r="K850" s="13">
        <f t="shared" si="37"/>
        <v>69623500</v>
      </c>
      <c r="L850" s="113" t="s">
        <v>159</v>
      </c>
      <c r="M850" s="113" t="s">
        <v>153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64"/>
    </row>
    <row r="851" spans="1:26" ht="15.75" hidden="1" customHeight="1">
      <c r="A851" s="120" t="str">
        <f>IF(B851&lt;&gt;"",IF(AND(B851&gt;=_TM1,B851&lt;=_TM2,OR(TH!L851="1111",TH!M851="1111")),TH!D851,""),"")</f>
        <v/>
      </c>
      <c r="B851" s="542">
        <f t="shared" si="34"/>
        <v>7</v>
      </c>
      <c r="C851" s="543">
        <f t="shared" si="38"/>
        <v>42563</v>
      </c>
      <c r="D851" s="544" t="s">
        <v>1019</v>
      </c>
      <c r="E851" s="585">
        <v>42563</v>
      </c>
      <c r="F851" s="586" t="s">
        <v>403</v>
      </c>
      <c r="G851" s="545"/>
      <c r="H851" s="584" t="s">
        <v>1069</v>
      </c>
      <c r="I851" s="548">
        <v>11536</v>
      </c>
      <c r="J851" s="548">
        <v>7600</v>
      </c>
      <c r="K851" s="551">
        <f t="shared" si="37"/>
        <v>87673600</v>
      </c>
      <c r="L851" s="556" t="s">
        <v>159</v>
      </c>
      <c r="M851" s="556" t="s">
        <v>153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65"/>
    </row>
    <row r="852" spans="1:26" ht="15.75" hidden="1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8"/>
        <v>42563</v>
      </c>
      <c r="D852" s="110" t="s">
        <v>1019</v>
      </c>
      <c r="E852" s="110">
        <v>42563</v>
      </c>
      <c r="F852" s="109" t="s">
        <v>447</v>
      </c>
      <c r="G852" s="111"/>
      <c r="H852" s="125" t="s">
        <v>1069</v>
      </c>
      <c r="I852" s="133">
        <v>5979</v>
      </c>
      <c r="J852" s="133">
        <v>8900</v>
      </c>
      <c r="K852" s="13">
        <f t="shared" si="37"/>
        <v>53213100</v>
      </c>
      <c r="L852" s="113" t="s">
        <v>159</v>
      </c>
      <c r="M852" s="113" t="s">
        <v>153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64"/>
    </row>
    <row r="853" spans="1:26" ht="15.75" hidden="1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8"/>
        <v>42563</v>
      </c>
      <c r="D853" s="110" t="s">
        <v>1019</v>
      </c>
      <c r="E853" s="110">
        <v>42563</v>
      </c>
      <c r="F853" s="109" t="s">
        <v>448</v>
      </c>
      <c r="G853" s="111"/>
      <c r="H853" s="125" t="s">
        <v>1069</v>
      </c>
      <c r="I853" s="133">
        <v>4011</v>
      </c>
      <c r="J853" s="133">
        <v>8500</v>
      </c>
      <c r="K853" s="13">
        <f t="shared" si="37"/>
        <v>34093500</v>
      </c>
      <c r="L853" s="113" t="s">
        <v>159</v>
      </c>
      <c r="M853" s="113" t="s">
        <v>153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64"/>
    </row>
    <row r="854" spans="1:26" ht="15.75" hidden="1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8"/>
        <v>42580</v>
      </c>
      <c r="D854" s="110" t="s">
        <v>1019</v>
      </c>
      <c r="E854" s="110">
        <v>42580</v>
      </c>
      <c r="F854" s="109" t="s">
        <v>403</v>
      </c>
      <c r="G854" s="111"/>
      <c r="H854" s="125" t="s">
        <v>1069</v>
      </c>
      <c r="I854" s="133">
        <v>7756</v>
      </c>
      <c r="J854" s="133">
        <v>7600</v>
      </c>
      <c r="K854" s="13">
        <f t="shared" si="37"/>
        <v>58945600</v>
      </c>
      <c r="L854" s="113" t="s">
        <v>159</v>
      </c>
      <c r="M854" s="113" t="s">
        <v>153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64"/>
    </row>
    <row r="855" spans="1:26" ht="15.75" hidden="1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8"/>
        <v>42580</v>
      </c>
      <c r="D855" s="110" t="s">
        <v>1019</v>
      </c>
      <c r="E855" s="110">
        <v>42580</v>
      </c>
      <c r="F855" s="109" t="s">
        <v>447</v>
      </c>
      <c r="G855" s="111"/>
      <c r="H855" s="125" t="s">
        <v>1069</v>
      </c>
      <c r="I855" s="133">
        <v>2840</v>
      </c>
      <c r="J855" s="133">
        <v>8900</v>
      </c>
      <c r="K855" s="13">
        <f t="shared" si="37"/>
        <v>25276000</v>
      </c>
      <c r="L855" s="113" t="s">
        <v>159</v>
      </c>
      <c r="M855" s="113" t="s">
        <v>153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64"/>
    </row>
    <row r="856" spans="1:26" ht="15.75" hidden="1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8"/>
        <v>42580</v>
      </c>
      <c r="D856" s="110" t="s">
        <v>1019</v>
      </c>
      <c r="E856" s="110">
        <v>42580</v>
      </c>
      <c r="F856" s="109" t="s">
        <v>448</v>
      </c>
      <c r="G856" s="111"/>
      <c r="H856" s="125" t="s">
        <v>1069</v>
      </c>
      <c r="I856" s="133">
        <v>6881</v>
      </c>
      <c r="J856" s="133">
        <v>8500</v>
      </c>
      <c r="K856" s="13">
        <f t="shared" si="37"/>
        <v>58488500</v>
      </c>
      <c r="L856" s="113" t="s">
        <v>159</v>
      </c>
      <c r="M856" s="113" t="s">
        <v>153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64"/>
    </row>
    <row r="857" spans="1:26" ht="15.75" hidden="1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8"/>
        <v>42660</v>
      </c>
      <c r="D857" s="110" t="s">
        <v>1019</v>
      </c>
      <c r="E857" s="110">
        <v>42660</v>
      </c>
      <c r="F857" s="109" t="s">
        <v>781</v>
      </c>
      <c r="G857" s="298"/>
      <c r="H857" s="125" t="s">
        <v>1069</v>
      </c>
      <c r="I857" s="133">
        <v>8032</v>
      </c>
      <c r="J857" s="133">
        <v>7800</v>
      </c>
      <c r="K857" s="13">
        <f t="shared" si="37"/>
        <v>62649600</v>
      </c>
      <c r="L857" s="113" t="s">
        <v>159</v>
      </c>
      <c r="M857" s="113" t="s">
        <v>153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64"/>
    </row>
    <row r="858" spans="1:26" ht="15.75" hidden="1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8"/>
        <v>42660</v>
      </c>
      <c r="D858" s="110" t="s">
        <v>1019</v>
      </c>
      <c r="E858" s="110">
        <v>42660</v>
      </c>
      <c r="F858" s="109" t="s">
        <v>781</v>
      </c>
      <c r="G858" s="111"/>
      <c r="H858" s="125" t="s">
        <v>1069</v>
      </c>
      <c r="I858" s="133">
        <v>7448</v>
      </c>
      <c r="J858" s="133">
        <v>8200</v>
      </c>
      <c r="K858" s="13">
        <f t="shared" si="37"/>
        <v>61073600</v>
      </c>
      <c r="L858" s="113" t="s">
        <v>159</v>
      </c>
      <c r="M858" s="113" t="s">
        <v>153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64"/>
    </row>
    <row r="859" spans="1:26" ht="15.75" hidden="1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8"/>
        <v>42660</v>
      </c>
      <c r="D859" s="110" t="s">
        <v>1019</v>
      </c>
      <c r="E859" s="110">
        <v>42660</v>
      </c>
      <c r="F859" s="109" t="s">
        <v>781</v>
      </c>
      <c r="G859" s="298"/>
      <c r="H859" s="125" t="s">
        <v>1069</v>
      </c>
      <c r="I859" s="133">
        <v>2161</v>
      </c>
      <c r="J859" s="133">
        <v>8200</v>
      </c>
      <c r="K859" s="13">
        <f t="shared" si="37"/>
        <v>17720200</v>
      </c>
      <c r="L859" s="113" t="s">
        <v>159</v>
      </c>
      <c r="M859" s="113" t="s">
        <v>153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64"/>
    </row>
    <row r="860" spans="1:26" ht="15.75" hidden="1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8"/>
        <v>42662</v>
      </c>
      <c r="D860" s="110" t="s">
        <v>1019</v>
      </c>
      <c r="E860" s="110">
        <v>42662</v>
      </c>
      <c r="F860" s="109" t="s">
        <v>781</v>
      </c>
      <c r="G860" s="111"/>
      <c r="H860" s="125" t="s">
        <v>1069</v>
      </c>
      <c r="I860" s="133">
        <v>6632</v>
      </c>
      <c r="J860" s="133">
        <v>8200</v>
      </c>
      <c r="K860" s="13">
        <f t="shared" si="37"/>
        <v>54382400</v>
      </c>
      <c r="L860" s="113" t="s">
        <v>159</v>
      </c>
      <c r="M860" s="113" t="s">
        <v>153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64"/>
    </row>
    <row r="861" spans="1:26" ht="15.75" hidden="1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8"/>
        <v>42674</v>
      </c>
      <c r="D861" s="110" t="s">
        <v>1019</v>
      </c>
      <c r="E861" s="110">
        <v>42674</v>
      </c>
      <c r="F861" s="109" t="s">
        <v>877</v>
      </c>
      <c r="G861" s="298"/>
      <c r="H861" s="125" t="s">
        <v>1069</v>
      </c>
      <c r="I861" s="133">
        <v>28000</v>
      </c>
      <c r="J861" s="133">
        <v>8400</v>
      </c>
      <c r="K861" s="13">
        <f t="shared" si="37"/>
        <v>235200000</v>
      </c>
      <c r="L861" s="113" t="s">
        <v>159</v>
      </c>
      <c r="M861" s="113" t="s">
        <v>153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64"/>
    </row>
    <row r="862" spans="1:26" ht="15.75" hidden="1" customHeight="1">
      <c r="A862" s="120" t="str">
        <f>IF(B862&lt;&gt;"",IF(AND(B862&gt;=_TM1,B862&lt;=_TM2,OR(TH!L862="1111",TH!M862="1111")),TH!D862,""),"")</f>
        <v/>
      </c>
      <c r="B862" s="542">
        <f t="shared" si="34"/>
        <v>8</v>
      </c>
      <c r="C862" s="543">
        <f t="shared" si="38"/>
        <v>42595</v>
      </c>
      <c r="D862" s="544" t="s">
        <v>1070</v>
      </c>
      <c r="E862" s="544">
        <v>42595</v>
      </c>
      <c r="F862" s="545" t="s">
        <v>442</v>
      </c>
      <c r="G862" s="545"/>
      <c r="H862" s="584" t="s">
        <v>1069</v>
      </c>
      <c r="I862" s="587">
        <v>19810</v>
      </c>
      <c r="J862" s="587">
        <v>780</v>
      </c>
      <c r="K862" s="551">
        <f t="shared" si="37"/>
        <v>15451800</v>
      </c>
      <c r="L862" s="556" t="s">
        <v>159</v>
      </c>
      <c r="M862" s="556" t="s">
        <v>155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65"/>
    </row>
    <row r="863" spans="1:26" ht="15.75" hidden="1" customHeight="1">
      <c r="A863" s="120" t="str">
        <f>IF(B863&lt;&gt;"",IF(AND(B863&gt;=_TM1,B863&lt;=_TM2,OR(TH!L863="1111",TH!M863="1111")),TH!D863,""),"")</f>
        <v/>
      </c>
      <c r="B863" s="568">
        <f t="shared" si="34"/>
        <v>8</v>
      </c>
      <c r="C863" s="569">
        <f t="shared" si="38"/>
        <v>42601</v>
      </c>
      <c r="D863" s="552" t="s">
        <v>1070</v>
      </c>
      <c r="E863" s="552">
        <v>42601</v>
      </c>
      <c r="F863" s="553" t="s">
        <v>442</v>
      </c>
      <c r="G863" s="554"/>
      <c r="H863" s="570" t="s">
        <v>1069</v>
      </c>
      <c r="I863" s="131">
        <v>14330</v>
      </c>
      <c r="J863" s="131">
        <v>780</v>
      </c>
      <c r="K863" s="21">
        <f t="shared" ref="K863:K879" si="39">ROUND(I863*J863,0)</f>
        <v>11177400</v>
      </c>
      <c r="L863" s="550" t="s">
        <v>159</v>
      </c>
      <c r="M863" s="550" t="s">
        <v>155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63"/>
    </row>
    <row r="864" spans="1:26" ht="15.75" hidden="1" customHeight="1">
      <c r="A864" s="120" t="str">
        <f>IF(B864&lt;&gt;"",IF(AND(B864&gt;=_TM1,B864&lt;=_TM2,OR(TH!L864="1111",TH!M864="1111")),TH!D864,""),"")</f>
        <v/>
      </c>
      <c r="B864" s="568">
        <f t="shared" si="34"/>
        <v>8</v>
      </c>
      <c r="C864" s="569">
        <f t="shared" si="38"/>
        <v>42613</v>
      </c>
      <c r="D864" s="552" t="s">
        <v>1070</v>
      </c>
      <c r="E864" s="552">
        <v>42613</v>
      </c>
      <c r="F864" s="553" t="s">
        <v>442</v>
      </c>
      <c r="G864" s="553"/>
      <c r="H864" s="570" t="s">
        <v>1069</v>
      </c>
      <c r="I864" s="572">
        <v>12830</v>
      </c>
      <c r="J864" s="572">
        <v>780</v>
      </c>
      <c r="K864" s="21">
        <f t="shared" si="39"/>
        <v>10007400</v>
      </c>
      <c r="L864" s="550" t="s">
        <v>159</v>
      </c>
      <c r="M864" s="550" t="s">
        <v>155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63"/>
    </row>
    <row r="865" spans="1:26" ht="15.75" hidden="1" customHeight="1">
      <c r="A865" s="120" t="str">
        <f>IF(B865&lt;&gt;"",IF(AND(B865&gt;=_TM1,B865&lt;=_TM2,OR(TH!L865="1111",TH!M865="1111")),TH!D865,""),"")</f>
        <v/>
      </c>
      <c r="B865" s="568">
        <f t="shared" si="34"/>
        <v>9</v>
      </c>
      <c r="C865" s="569">
        <f t="shared" si="38"/>
        <v>42625</v>
      </c>
      <c r="D865" s="552" t="s">
        <v>1070</v>
      </c>
      <c r="E865" s="552">
        <v>42625</v>
      </c>
      <c r="F865" s="553" t="s">
        <v>775</v>
      </c>
      <c r="G865" s="553"/>
      <c r="H865" s="570" t="s">
        <v>1069</v>
      </c>
      <c r="I865" s="131">
        <v>21050</v>
      </c>
      <c r="J865" s="131">
        <v>750</v>
      </c>
      <c r="K865" s="21">
        <f t="shared" si="39"/>
        <v>15787500</v>
      </c>
      <c r="L865" s="550" t="s">
        <v>159</v>
      </c>
      <c r="M865" s="550" t="s">
        <v>155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63"/>
    </row>
    <row r="866" spans="1:26" ht="15.75" hidden="1" customHeight="1">
      <c r="A866" s="120" t="str">
        <f>IF(B866&lt;&gt;"",IF(AND(B866&gt;=_TM1,B866&lt;=_TM2,OR(TH!L866="1111",TH!M866="1111")),TH!D866,""),"")</f>
        <v/>
      </c>
      <c r="B866" s="568">
        <f t="shared" si="34"/>
        <v>9</v>
      </c>
      <c r="C866" s="569">
        <f t="shared" si="38"/>
        <v>42630</v>
      </c>
      <c r="D866" s="552" t="s">
        <v>1070</v>
      </c>
      <c r="E866" s="552">
        <v>42630</v>
      </c>
      <c r="F866" s="553" t="s">
        <v>442</v>
      </c>
      <c r="G866" s="553"/>
      <c r="H866" s="570" t="s">
        <v>1069</v>
      </c>
      <c r="I866" s="572">
        <v>18500</v>
      </c>
      <c r="J866" s="572">
        <v>780</v>
      </c>
      <c r="K866" s="21">
        <f t="shared" si="39"/>
        <v>14430000</v>
      </c>
      <c r="L866" s="550" t="s">
        <v>159</v>
      </c>
      <c r="M866" s="550" t="s">
        <v>155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63"/>
    </row>
    <row r="867" spans="1:26" ht="15.75" hidden="1" customHeight="1">
      <c r="A867" s="120" t="str">
        <f>IF(B867&lt;&gt;"",IF(AND(B867&gt;=_TM1,B867&lt;=_TM2,OR(TH!L867="1111",TH!M867="1111")),TH!D867,""),"")</f>
        <v/>
      </c>
      <c r="B867" s="568">
        <f t="shared" si="34"/>
        <v>9</v>
      </c>
      <c r="C867" s="569">
        <f t="shared" si="38"/>
        <v>42633</v>
      </c>
      <c r="D867" s="552" t="s">
        <v>1070</v>
      </c>
      <c r="E867" s="552">
        <v>42633</v>
      </c>
      <c r="F867" s="553" t="s">
        <v>775</v>
      </c>
      <c r="G867" s="553"/>
      <c r="H867" s="570" t="s">
        <v>1069</v>
      </c>
      <c r="I867" s="131">
        <v>22450</v>
      </c>
      <c r="J867" s="131">
        <v>750</v>
      </c>
      <c r="K867" s="21">
        <f t="shared" si="39"/>
        <v>16837500</v>
      </c>
      <c r="L867" s="550" t="s">
        <v>159</v>
      </c>
      <c r="M867" s="550" t="s">
        <v>155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63"/>
    </row>
    <row r="868" spans="1:26" ht="15.75" hidden="1" customHeight="1">
      <c r="A868" s="120" t="str">
        <f>IF(B868&lt;&gt;"",IF(AND(B868&gt;=_TM1,B868&lt;=_TM2,OR(TH!L868="1111",TH!M868="1111")),TH!D868,""),"")</f>
        <v/>
      </c>
      <c r="B868" s="542">
        <f t="shared" si="34"/>
        <v>10</v>
      </c>
      <c r="C868" s="543">
        <f t="shared" si="38"/>
        <v>42652</v>
      </c>
      <c r="D868" s="544" t="s">
        <v>1070</v>
      </c>
      <c r="E868" s="544">
        <v>42652</v>
      </c>
      <c r="F868" s="545" t="s">
        <v>775</v>
      </c>
      <c r="G868" s="546"/>
      <c r="H868" s="584" t="s">
        <v>1069</v>
      </c>
      <c r="I868" s="588">
        <v>13490</v>
      </c>
      <c r="J868" s="588">
        <v>750</v>
      </c>
      <c r="K868" s="551">
        <f t="shared" si="39"/>
        <v>10117500</v>
      </c>
      <c r="L868" s="556" t="s">
        <v>159</v>
      </c>
      <c r="M868" s="556" t="s">
        <v>155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65"/>
    </row>
    <row r="869" spans="1:26" ht="15.75" hidden="1" customHeight="1">
      <c r="A869" s="120" t="str">
        <f>IF(B869&lt;&gt;"",IF(AND(B869&gt;=_TM1,B869&lt;=_TM2,OR(TH!L869="1111",TH!M869="1111")),TH!D869,""),"")</f>
        <v/>
      </c>
      <c r="B869" s="568">
        <f t="shared" ref="B869:B935" si="40">IF(C869&lt;&gt;"",MONTH(C869),"")</f>
        <v>10</v>
      </c>
      <c r="C869" s="569">
        <f t="shared" si="38"/>
        <v>42657</v>
      </c>
      <c r="D869" s="552" t="s">
        <v>1070</v>
      </c>
      <c r="E869" s="552">
        <v>42657</v>
      </c>
      <c r="F869" s="553" t="s">
        <v>775</v>
      </c>
      <c r="G869" s="554"/>
      <c r="H869" s="570" t="s">
        <v>1069</v>
      </c>
      <c r="I869" s="131">
        <v>16010</v>
      </c>
      <c r="J869" s="132">
        <v>800</v>
      </c>
      <c r="K869" s="21">
        <f t="shared" si="39"/>
        <v>12808000</v>
      </c>
      <c r="L869" s="550" t="s">
        <v>159</v>
      </c>
      <c r="M869" s="550" t="s">
        <v>155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63"/>
    </row>
    <row r="870" spans="1:26" ht="15.75" hidden="1" customHeight="1">
      <c r="A870" s="120" t="str">
        <f>IF(B870&lt;&gt;"",IF(AND(B870&gt;=_TM1,B870&lt;=_TM2,OR(TH!L870="1111",TH!M870="1111")),TH!D870,""),"")</f>
        <v/>
      </c>
      <c r="B870" s="568">
        <f t="shared" si="40"/>
        <v>10</v>
      </c>
      <c r="C870" s="569">
        <f t="shared" si="38"/>
        <v>42665</v>
      </c>
      <c r="D870" s="552" t="s">
        <v>1070</v>
      </c>
      <c r="E870" s="552">
        <v>42665</v>
      </c>
      <c r="F870" s="553" t="s">
        <v>775</v>
      </c>
      <c r="G870" s="554"/>
      <c r="H870" s="570" t="s">
        <v>1069</v>
      </c>
      <c r="I870" s="131">
        <v>13030</v>
      </c>
      <c r="J870" s="131">
        <v>800</v>
      </c>
      <c r="K870" s="21">
        <f t="shared" si="39"/>
        <v>10424000</v>
      </c>
      <c r="L870" s="550" t="s">
        <v>159</v>
      </c>
      <c r="M870" s="550" t="s">
        <v>155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63"/>
    </row>
    <row r="871" spans="1:26" ht="15.75" hidden="1" customHeight="1">
      <c r="A871" s="120" t="str">
        <f>IF(B871&lt;&gt;"",IF(AND(B871&gt;=_TM1,B871&lt;=_TM2,OR(TH!L871="1111",TH!M871="1111")),TH!D871,""),"")</f>
        <v/>
      </c>
      <c r="B871" s="568">
        <f t="shared" si="40"/>
        <v>11</v>
      </c>
      <c r="C871" s="569">
        <f t="shared" si="38"/>
        <v>42678</v>
      </c>
      <c r="D871" s="552" t="s">
        <v>1070</v>
      </c>
      <c r="E871" s="552">
        <v>42678</v>
      </c>
      <c r="F871" s="553" t="s">
        <v>860</v>
      </c>
      <c r="G871" s="553"/>
      <c r="H871" s="570" t="s">
        <v>1069</v>
      </c>
      <c r="I871" s="131">
        <v>430</v>
      </c>
      <c r="J871" s="131">
        <v>23500</v>
      </c>
      <c r="K871" s="21">
        <f t="shared" si="39"/>
        <v>10105000</v>
      </c>
      <c r="L871" s="550" t="s">
        <v>159</v>
      </c>
      <c r="M871" s="550" t="s">
        <v>155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63"/>
    </row>
    <row r="872" spans="1:26" ht="15.75" hidden="1" customHeight="1">
      <c r="A872" s="120" t="str">
        <f>IF(B872&lt;&gt;"",IF(AND(B872&gt;=_TM1,B872&lt;=_TM2,OR(TH!L872="1111",TH!M872="1111")),TH!D872,""),"")</f>
        <v/>
      </c>
      <c r="B872" s="568">
        <f t="shared" si="40"/>
        <v>11</v>
      </c>
      <c r="C872" s="569">
        <f t="shared" si="38"/>
        <v>42678</v>
      </c>
      <c r="D872" s="552" t="s">
        <v>1070</v>
      </c>
      <c r="E872" s="552">
        <v>42678</v>
      </c>
      <c r="F872" s="553" t="s">
        <v>862</v>
      </c>
      <c r="G872" s="553"/>
      <c r="H872" s="570" t="s">
        <v>1069</v>
      </c>
      <c r="I872" s="131">
        <v>250</v>
      </c>
      <c r="J872" s="131">
        <v>9000</v>
      </c>
      <c r="K872" s="21">
        <f t="shared" si="39"/>
        <v>2250000</v>
      </c>
      <c r="L872" s="550" t="s">
        <v>159</v>
      </c>
      <c r="M872" s="550" t="s">
        <v>155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63"/>
    </row>
    <row r="873" spans="1:26" ht="15.75" hidden="1" customHeight="1">
      <c r="A873" s="120" t="str">
        <f>IF(B873&lt;&gt;"",IF(AND(B873&gt;=_TM1,B873&lt;=_TM2,OR(TH!L873="1111",TH!M873="1111")),TH!D873,""),"")</f>
        <v/>
      </c>
      <c r="B873" s="568">
        <f t="shared" ref="B873:B875" si="41">IF(C873&lt;&gt;"",MONTH(C873),"")</f>
        <v>11</v>
      </c>
      <c r="C873" s="569">
        <f t="shared" ref="C873:C875" si="42">E873</f>
        <v>42684</v>
      </c>
      <c r="D873" s="552" t="s">
        <v>1070</v>
      </c>
      <c r="E873" s="552">
        <v>42684</v>
      </c>
      <c r="F873" s="553" t="s">
        <v>862</v>
      </c>
      <c r="G873" s="553"/>
      <c r="H873" s="570" t="s">
        <v>1069</v>
      </c>
      <c r="I873" s="131">
        <v>2000</v>
      </c>
      <c r="J873" s="131">
        <v>9000</v>
      </c>
      <c r="K873" s="21">
        <f t="shared" ref="K873:K875" si="43">ROUND(I873*J873,0)</f>
        <v>18000000</v>
      </c>
      <c r="L873" s="550" t="s">
        <v>159</v>
      </c>
      <c r="M873" s="550" t="s">
        <v>155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63"/>
    </row>
    <row r="874" spans="1:26" ht="15.75" hidden="1" customHeight="1">
      <c r="A874" s="120" t="str">
        <f>IF(B874&lt;&gt;"",IF(AND(B874&gt;=_TM1,B874&lt;=_TM2,OR(TH!L874="1111",TH!M874="1111")),TH!D874,""),"")</f>
        <v/>
      </c>
      <c r="B874" s="568">
        <f t="shared" si="41"/>
        <v>11</v>
      </c>
      <c r="C874" s="569">
        <f t="shared" si="42"/>
        <v>42688</v>
      </c>
      <c r="D874" s="552" t="s">
        <v>1070</v>
      </c>
      <c r="E874" s="552">
        <v>42688</v>
      </c>
      <c r="F874" s="553" t="s">
        <v>775</v>
      </c>
      <c r="G874" s="553"/>
      <c r="H874" s="570" t="s">
        <v>1069</v>
      </c>
      <c r="I874" s="131">
        <v>18190</v>
      </c>
      <c r="J874" s="131">
        <v>800</v>
      </c>
      <c r="K874" s="21">
        <f t="shared" si="43"/>
        <v>14552000</v>
      </c>
      <c r="L874" s="550" t="s">
        <v>159</v>
      </c>
      <c r="M874" s="550" t="s">
        <v>155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63"/>
    </row>
    <row r="875" spans="1:26" ht="15.75" hidden="1" customHeight="1">
      <c r="A875" s="120" t="str">
        <f>IF(B875&lt;&gt;"",IF(AND(B875&gt;=_TM1,B875&lt;=_TM2,OR(TH!L875="1111",TH!M875="1111")),TH!D875,""),"")</f>
        <v/>
      </c>
      <c r="B875" s="568">
        <f t="shared" si="41"/>
        <v>11</v>
      </c>
      <c r="C875" s="569">
        <f t="shared" si="42"/>
        <v>42698</v>
      </c>
      <c r="D875" s="552" t="s">
        <v>1070</v>
      </c>
      <c r="E875" s="552">
        <v>42698</v>
      </c>
      <c r="F875" s="553" t="s">
        <v>775</v>
      </c>
      <c r="G875" s="553"/>
      <c r="H875" s="570" t="s">
        <v>1069</v>
      </c>
      <c r="I875" s="572">
        <v>17050</v>
      </c>
      <c r="J875" s="572">
        <v>800</v>
      </c>
      <c r="K875" s="21">
        <f t="shared" si="43"/>
        <v>13640000</v>
      </c>
      <c r="L875" s="550" t="s">
        <v>159</v>
      </c>
      <c r="M875" s="550" t="s">
        <v>155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63"/>
    </row>
    <row r="876" spans="1:26" ht="15.75" hidden="1" customHeight="1">
      <c r="A876" s="120" t="str">
        <f>IF(B876&lt;&gt;"",IF(AND(B876&gt;=_TM1,B876&lt;=_TM2,OR(TH!L876="1111",TH!M876="1111")),TH!D876,""),"")</f>
        <v/>
      </c>
      <c r="B876" s="568">
        <f t="shared" si="40"/>
        <v>12</v>
      </c>
      <c r="C876" s="569">
        <f t="shared" si="38"/>
        <v>42712</v>
      </c>
      <c r="D876" s="552" t="s">
        <v>1070</v>
      </c>
      <c r="E876" s="552">
        <v>42712</v>
      </c>
      <c r="F876" s="553" t="s">
        <v>442</v>
      </c>
      <c r="G876" s="553"/>
      <c r="H876" s="570" t="s">
        <v>1069</v>
      </c>
      <c r="I876" s="131">
        <v>19820</v>
      </c>
      <c r="J876" s="131">
        <v>800</v>
      </c>
      <c r="K876" s="21">
        <f t="shared" si="39"/>
        <v>15856000</v>
      </c>
      <c r="L876" s="550" t="s">
        <v>159</v>
      </c>
      <c r="M876" s="550" t="s">
        <v>155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63"/>
    </row>
    <row r="877" spans="1:26" ht="15.75" hidden="1" customHeight="1">
      <c r="A877" s="120" t="str">
        <f>IF(B877&lt;&gt;"",IF(AND(B877&gt;=_TM1,B877&lt;=_TM2,OR(TH!L877="1111",TH!M877="1111")),TH!D877,""),"")</f>
        <v/>
      </c>
      <c r="B877" s="568">
        <f t="shared" si="40"/>
        <v>12</v>
      </c>
      <c r="C877" s="569">
        <f t="shared" si="38"/>
        <v>42723</v>
      </c>
      <c r="D877" s="552" t="s">
        <v>1070</v>
      </c>
      <c r="E877" s="552">
        <v>42723</v>
      </c>
      <c r="F877" s="553" t="s">
        <v>442</v>
      </c>
      <c r="G877" s="553"/>
      <c r="H877" s="570" t="s">
        <v>1069</v>
      </c>
      <c r="I877" s="131">
        <v>6950</v>
      </c>
      <c r="J877" s="131">
        <v>800</v>
      </c>
      <c r="K877" s="21">
        <f t="shared" si="39"/>
        <v>5560000</v>
      </c>
      <c r="L877" s="550" t="s">
        <v>159</v>
      </c>
      <c r="M877" s="550" t="s">
        <v>155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63"/>
    </row>
    <row r="878" spans="1:26" ht="15.75" hidden="1" customHeight="1">
      <c r="A878" s="120" t="str">
        <f>IF(B878&lt;&gt;"",IF(AND(B878&gt;=_TM1,B878&lt;=_TM2,OR(TH!L878="1111",TH!M878="1111")),TH!D878,""),"")</f>
        <v/>
      </c>
      <c r="B878" s="568">
        <f t="shared" si="40"/>
        <v>12</v>
      </c>
      <c r="C878" s="569">
        <f t="shared" si="38"/>
        <v>42730</v>
      </c>
      <c r="D878" s="552" t="s">
        <v>1070</v>
      </c>
      <c r="E878" s="552">
        <v>42730</v>
      </c>
      <c r="F878" s="553" t="s">
        <v>860</v>
      </c>
      <c r="G878" s="553"/>
      <c r="H878" s="570" t="s">
        <v>1069</v>
      </c>
      <c r="I878" s="572">
        <v>400</v>
      </c>
      <c r="J878" s="572">
        <v>23500</v>
      </c>
      <c r="K878" s="21">
        <f t="shared" si="39"/>
        <v>9400000</v>
      </c>
      <c r="L878" s="550" t="s">
        <v>159</v>
      </c>
      <c r="M878" s="550" t="s">
        <v>155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63"/>
    </row>
    <row r="879" spans="1:26" ht="15.75" hidden="1" customHeight="1">
      <c r="A879" s="120" t="str">
        <f>IF(B879&lt;&gt;"",IF(AND(B879&gt;=_TM1,B879&lt;=_TM2,OR(TH!L879="1111",TH!M879="1111")),TH!D879,""),"")</f>
        <v/>
      </c>
      <c r="B879" s="542">
        <f t="shared" si="40"/>
        <v>7</v>
      </c>
      <c r="C879" s="543">
        <f t="shared" si="38"/>
        <v>42566</v>
      </c>
      <c r="D879" s="544" t="s">
        <v>1071</v>
      </c>
      <c r="E879" s="595">
        <v>42566</v>
      </c>
      <c r="F879" s="596" t="s">
        <v>491</v>
      </c>
      <c r="G879" s="597" t="s">
        <v>697</v>
      </c>
      <c r="H879" s="598" t="s">
        <v>1072</v>
      </c>
      <c r="I879" s="548">
        <v>73</v>
      </c>
      <c r="J879" s="548">
        <v>43030.791972046798</v>
      </c>
      <c r="K879" s="551">
        <f t="shared" si="39"/>
        <v>3141248</v>
      </c>
      <c r="L879" s="556" t="s">
        <v>161</v>
      </c>
      <c r="M879" s="556" t="s">
        <v>159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65"/>
    </row>
    <row r="880" spans="1:26" ht="15.75" hidden="1" customHeight="1">
      <c r="A880" s="120" t="str">
        <f>IF(B880&lt;&gt;"",IF(AND(B880&gt;=_TM1,B880&lt;=_TM2,OR(TH!L880="1111",TH!M880="1111")),TH!D880,""),"")</f>
        <v/>
      </c>
      <c r="B880" s="12">
        <f t="shared" si="40"/>
        <v>7</v>
      </c>
      <c r="C880" s="105">
        <f t="shared" si="38"/>
        <v>42566</v>
      </c>
      <c r="D880" s="110" t="s">
        <v>1071</v>
      </c>
      <c r="E880" s="474">
        <v>42566</v>
      </c>
      <c r="F880" s="161" t="s">
        <v>495</v>
      </c>
      <c r="G880" s="475" t="s">
        <v>698</v>
      </c>
      <c r="H880" s="112" t="s">
        <v>1072</v>
      </c>
      <c r="I880" s="134">
        <v>100</v>
      </c>
      <c r="J880" s="134">
        <v>32314.311212724799</v>
      </c>
      <c r="K880" s="13">
        <f t="shared" ref="K880:K933" si="44">ROUND(I880*J880,0)</f>
        <v>3231431</v>
      </c>
      <c r="L880" s="113" t="s">
        <v>161</v>
      </c>
      <c r="M880" s="113" t="s">
        <v>159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64"/>
    </row>
    <row r="881" spans="1:26" ht="15.75" hidden="1" customHeight="1">
      <c r="A881" s="120" t="str">
        <f>IF(B881&lt;&gt;"",IF(AND(B881&gt;=_TM1,B881&lt;=_TM2,OR(TH!L881="1111",TH!M881="1111")),TH!D881,""),"")</f>
        <v/>
      </c>
      <c r="B881" s="12">
        <f t="shared" si="40"/>
        <v>7</v>
      </c>
      <c r="C881" s="105">
        <f t="shared" si="38"/>
        <v>42566</v>
      </c>
      <c r="D881" s="110" t="s">
        <v>1071</v>
      </c>
      <c r="E881" s="474">
        <v>42566</v>
      </c>
      <c r="F881" s="161" t="s">
        <v>496</v>
      </c>
      <c r="G881" s="475" t="s">
        <v>698</v>
      </c>
      <c r="H881" s="112" t="s">
        <v>1072</v>
      </c>
      <c r="I881" s="133">
        <v>116</v>
      </c>
      <c r="J881" s="133">
        <v>62320.457338826389</v>
      </c>
      <c r="K881" s="13">
        <f t="shared" si="44"/>
        <v>7229173</v>
      </c>
      <c r="L881" s="113" t="s">
        <v>161</v>
      </c>
      <c r="M881" s="113" t="s">
        <v>159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64"/>
    </row>
    <row r="882" spans="1:26" ht="15.75" hidden="1" customHeight="1">
      <c r="A882" s="120" t="str">
        <f>IF(B882&lt;&gt;"",IF(AND(B882&gt;=_TM1,B882&lt;=_TM2,OR(TH!L882="1111",TH!M882="1111")),TH!D882,""),"")</f>
        <v/>
      </c>
      <c r="B882" s="12">
        <f t="shared" si="40"/>
        <v>7</v>
      </c>
      <c r="C882" s="105">
        <f t="shared" si="38"/>
        <v>42566</v>
      </c>
      <c r="D882" s="110" t="s">
        <v>1071</v>
      </c>
      <c r="E882" s="474">
        <v>42566</v>
      </c>
      <c r="F882" s="161" t="s">
        <v>497</v>
      </c>
      <c r="G882" s="475" t="s">
        <v>699</v>
      </c>
      <c r="H882" s="112" t="s">
        <v>1072</v>
      </c>
      <c r="I882" s="133">
        <v>220</v>
      </c>
      <c r="J882" s="133">
        <v>22504.609594576199</v>
      </c>
      <c r="K882" s="13">
        <f t="shared" si="44"/>
        <v>4951014</v>
      </c>
      <c r="L882" s="113" t="s">
        <v>161</v>
      </c>
      <c r="M882" s="113" t="s">
        <v>159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64"/>
    </row>
    <row r="883" spans="1:26" ht="15.75" hidden="1" customHeight="1">
      <c r="A883" s="120" t="str">
        <f>IF(B883&lt;&gt;"",IF(AND(B883&gt;=_TM1,B883&lt;=_TM2,OR(TH!L883="1111",TH!M883="1111")),TH!D883,""),"")</f>
        <v/>
      </c>
      <c r="B883" s="12">
        <f t="shared" si="40"/>
        <v>7</v>
      </c>
      <c r="C883" s="105">
        <f t="shared" si="38"/>
        <v>42566</v>
      </c>
      <c r="D883" s="110" t="s">
        <v>1071</v>
      </c>
      <c r="E883" s="474">
        <v>42566</v>
      </c>
      <c r="F883" s="161" t="s">
        <v>498</v>
      </c>
      <c r="G883" s="475" t="s">
        <v>699</v>
      </c>
      <c r="H883" s="112" t="s">
        <v>1072</v>
      </c>
      <c r="I883" s="133">
        <v>357</v>
      </c>
      <c r="J883" s="133">
        <v>10551.611824563199</v>
      </c>
      <c r="K883" s="13">
        <f t="shared" si="44"/>
        <v>3766925</v>
      </c>
      <c r="L883" s="113" t="s">
        <v>161</v>
      </c>
      <c r="M883" s="113" t="s">
        <v>159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64"/>
    </row>
    <row r="884" spans="1:26" ht="15.75" hidden="1" customHeight="1">
      <c r="A884" s="120" t="str">
        <f>IF(B884&lt;&gt;"",IF(AND(B884&gt;=_TM1,B884&lt;=_TM2,OR(TH!L884="1111",TH!M884="1111")),TH!D884,""),"")</f>
        <v/>
      </c>
      <c r="B884" s="12">
        <f t="shared" si="40"/>
        <v>7</v>
      </c>
      <c r="C884" s="105">
        <f t="shared" si="38"/>
        <v>42566</v>
      </c>
      <c r="D884" s="110" t="s">
        <v>1071</v>
      </c>
      <c r="E884" s="474">
        <v>42566</v>
      </c>
      <c r="F884" s="161" t="s">
        <v>499</v>
      </c>
      <c r="G884" s="475" t="s">
        <v>699</v>
      </c>
      <c r="H884" s="112" t="s">
        <v>1072</v>
      </c>
      <c r="I884" s="133">
        <v>70</v>
      </c>
      <c r="J884" s="133">
        <v>11046.218628839601</v>
      </c>
      <c r="K884" s="13">
        <f t="shared" si="44"/>
        <v>773235</v>
      </c>
      <c r="L884" s="113" t="s">
        <v>161</v>
      </c>
      <c r="M884" s="113" t="s">
        <v>159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64"/>
    </row>
    <row r="885" spans="1:26" ht="15.75" hidden="1" customHeight="1">
      <c r="A885" s="120" t="str">
        <f>IF(B885&lt;&gt;"",IF(AND(B885&gt;=_TM1,B885&lt;=_TM2,OR(TH!L885="1111",TH!M885="1111")),TH!D885,""),"")</f>
        <v/>
      </c>
      <c r="B885" s="12">
        <f t="shared" si="40"/>
        <v>7</v>
      </c>
      <c r="C885" s="105">
        <f t="shared" si="38"/>
        <v>42567</v>
      </c>
      <c r="D885" s="110" t="s">
        <v>1071</v>
      </c>
      <c r="E885" s="474">
        <v>42567</v>
      </c>
      <c r="F885" s="161" t="s">
        <v>500</v>
      </c>
      <c r="G885" s="475" t="s">
        <v>700</v>
      </c>
      <c r="H885" s="112" t="s">
        <v>1072</v>
      </c>
      <c r="I885" s="133">
        <v>300</v>
      </c>
      <c r="J885" s="133">
        <v>9397.5292812515981</v>
      </c>
      <c r="K885" s="13">
        <f t="shared" si="44"/>
        <v>2819259</v>
      </c>
      <c r="L885" s="113" t="s">
        <v>161</v>
      </c>
      <c r="M885" s="113" t="s">
        <v>159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64"/>
    </row>
    <row r="886" spans="1:26" ht="15.75" hidden="1" customHeight="1">
      <c r="A886" s="120" t="str">
        <f>IF(B886&lt;&gt;"",IF(AND(B886&gt;=_TM1,B886&lt;=_TM2,OR(TH!L886="1111",TH!M886="1111")),TH!D886,""),"")</f>
        <v/>
      </c>
      <c r="B886" s="12">
        <f t="shared" si="40"/>
        <v>7</v>
      </c>
      <c r="C886" s="105">
        <f t="shared" si="38"/>
        <v>42567</v>
      </c>
      <c r="D886" s="110" t="s">
        <v>1071</v>
      </c>
      <c r="E886" s="474">
        <v>42567</v>
      </c>
      <c r="F886" s="161" t="s">
        <v>500</v>
      </c>
      <c r="G886" s="475" t="s">
        <v>700</v>
      </c>
      <c r="H886" s="112" t="s">
        <v>1072</v>
      </c>
      <c r="I886" s="133">
        <v>500</v>
      </c>
      <c r="J886" s="133">
        <v>9397.5292812515981</v>
      </c>
      <c r="K886" s="13">
        <f t="shared" si="44"/>
        <v>4698765</v>
      </c>
      <c r="L886" s="113" t="s">
        <v>161</v>
      </c>
      <c r="M886" s="113" t="s">
        <v>159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64"/>
    </row>
    <row r="887" spans="1:26" ht="15.75" hidden="1" customHeight="1">
      <c r="A887" s="120" t="str">
        <f>IF(B887&lt;&gt;"",IF(AND(B887&gt;=_TM1,B887&lt;=_TM2,OR(TH!L887="1111",TH!M887="1111")),TH!D887,""),"")</f>
        <v/>
      </c>
      <c r="B887" s="12">
        <f t="shared" si="40"/>
        <v>7</v>
      </c>
      <c r="C887" s="105">
        <f t="shared" si="38"/>
        <v>42567</v>
      </c>
      <c r="D887" s="110" t="s">
        <v>1071</v>
      </c>
      <c r="E887" s="474">
        <v>42567</v>
      </c>
      <c r="F887" s="161" t="s">
        <v>375</v>
      </c>
      <c r="G887" s="475" t="s">
        <v>700</v>
      </c>
      <c r="H887" s="112" t="s">
        <v>1072</v>
      </c>
      <c r="I887" s="133">
        <v>1600</v>
      </c>
      <c r="J887" s="133">
        <v>741.91020641459988</v>
      </c>
      <c r="K887" s="13">
        <f t="shared" si="44"/>
        <v>1187056</v>
      </c>
      <c r="L887" s="113" t="s">
        <v>161</v>
      </c>
      <c r="M887" s="113" t="s">
        <v>159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64"/>
    </row>
    <row r="888" spans="1:26" ht="15.75" hidden="1" customHeight="1">
      <c r="A888" s="120" t="str">
        <f>IF(B888&lt;&gt;"",IF(AND(B888&gt;=_TM1,B888&lt;=_TM2,OR(TH!L888="1111",TH!M888="1111")),TH!D888,""),"")</f>
        <v/>
      </c>
      <c r="B888" s="12">
        <f t="shared" si="40"/>
        <v>7</v>
      </c>
      <c r="C888" s="105">
        <f t="shared" si="38"/>
        <v>42567</v>
      </c>
      <c r="D888" s="110" t="s">
        <v>1071</v>
      </c>
      <c r="E888" s="474">
        <v>42567</v>
      </c>
      <c r="F888" s="161" t="s">
        <v>501</v>
      </c>
      <c r="G888" s="475" t="s">
        <v>701</v>
      </c>
      <c r="H888" s="112" t="s">
        <v>1072</v>
      </c>
      <c r="I888" s="134">
        <v>1005</v>
      </c>
      <c r="J888" s="134">
        <v>7666.4054662842</v>
      </c>
      <c r="K888" s="13">
        <f t="shared" si="44"/>
        <v>7704737</v>
      </c>
      <c r="L888" s="113" t="s">
        <v>161</v>
      </c>
      <c r="M888" s="113" t="s">
        <v>159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64"/>
    </row>
    <row r="889" spans="1:26" ht="15.75" hidden="1" customHeight="1">
      <c r="A889" s="120" t="str">
        <f>IF(B889&lt;&gt;"",IF(AND(B889&gt;=_TM1,B889&lt;=_TM2,OR(TH!L889="1111",TH!M889="1111")),TH!D889,""),"")</f>
        <v/>
      </c>
      <c r="B889" s="12">
        <f t="shared" si="40"/>
        <v>7</v>
      </c>
      <c r="C889" s="105">
        <f t="shared" si="38"/>
        <v>42569</v>
      </c>
      <c r="D889" s="110" t="s">
        <v>1071</v>
      </c>
      <c r="E889" s="474">
        <v>42569</v>
      </c>
      <c r="F889" s="161" t="s">
        <v>502</v>
      </c>
      <c r="G889" s="475" t="s">
        <v>702</v>
      </c>
      <c r="H889" s="112" t="s">
        <v>1072</v>
      </c>
      <c r="I889" s="133">
        <v>254</v>
      </c>
      <c r="J889" s="133">
        <v>10057.005020286799</v>
      </c>
      <c r="K889" s="13">
        <f t="shared" si="44"/>
        <v>2554479</v>
      </c>
      <c r="L889" s="113" t="s">
        <v>161</v>
      </c>
      <c r="M889" s="113" t="s">
        <v>159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64"/>
    </row>
    <row r="890" spans="1:26" ht="15.75" hidden="1" customHeight="1">
      <c r="A890" s="120" t="str">
        <f>IF(B890&lt;&gt;"",IF(AND(B890&gt;=_TM1,B890&lt;=_TM2,OR(TH!L890="1111",TH!M890="1111")),TH!D890,""),"")</f>
        <v/>
      </c>
      <c r="B890" s="12">
        <f t="shared" si="40"/>
        <v>7</v>
      </c>
      <c r="C890" s="105">
        <f t="shared" si="38"/>
        <v>42569</v>
      </c>
      <c r="D890" s="110" t="s">
        <v>1071</v>
      </c>
      <c r="E890" s="474">
        <v>42569</v>
      </c>
      <c r="F890" s="161" t="s">
        <v>503</v>
      </c>
      <c r="G890" s="475" t="s">
        <v>703</v>
      </c>
      <c r="H890" s="112" t="s">
        <v>1072</v>
      </c>
      <c r="I890" s="133">
        <v>75</v>
      </c>
      <c r="J890" s="133">
        <v>11128.653096218999</v>
      </c>
      <c r="K890" s="13">
        <f t="shared" si="44"/>
        <v>834649</v>
      </c>
      <c r="L890" s="113" t="s">
        <v>161</v>
      </c>
      <c r="M890" s="113" t="s">
        <v>159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64"/>
    </row>
    <row r="891" spans="1:26" ht="15.75" hidden="1" customHeight="1">
      <c r="A891" s="120" t="str">
        <f>IF(B891&lt;&gt;"",IF(AND(B891&gt;=_TM1,B891&lt;=_TM2,OR(TH!L891="1111",TH!M891="1111")),TH!D891,""),"")</f>
        <v/>
      </c>
      <c r="B891" s="12">
        <f t="shared" si="40"/>
        <v>7</v>
      </c>
      <c r="C891" s="105">
        <f t="shared" si="38"/>
        <v>42571</v>
      </c>
      <c r="D891" s="110" t="s">
        <v>1071</v>
      </c>
      <c r="E891" s="474">
        <v>42571</v>
      </c>
      <c r="F891" s="161" t="s">
        <v>506</v>
      </c>
      <c r="G891" s="475" t="s">
        <v>704</v>
      </c>
      <c r="H891" s="112" t="s">
        <v>1072</v>
      </c>
      <c r="I891" s="133">
        <v>500</v>
      </c>
      <c r="J891" s="133">
        <v>2637.9029561407997</v>
      </c>
      <c r="K891" s="13">
        <f t="shared" si="44"/>
        <v>1318951</v>
      </c>
      <c r="L891" s="113" t="s">
        <v>161</v>
      </c>
      <c r="M891" s="113" t="s">
        <v>159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64"/>
    </row>
    <row r="892" spans="1:26" ht="15.75" hidden="1" customHeight="1">
      <c r="A892" s="120" t="str">
        <f>IF(B892&lt;&gt;"",IF(AND(B892&gt;=_TM1,B892&lt;=_TM2,OR(TH!L892="1111",TH!M892="1111")),TH!D892,""),"")</f>
        <v/>
      </c>
      <c r="B892" s="12">
        <f t="shared" si="40"/>
        <v>7</v>
      </c>
      <c r="C892" s="105">
        <f t="shared" si="38"/>
        <v>42571</v>
      </c>
      <c r="D892" s="110" t="s">
        <v>1071</v>
      </c>
      <c r="E892" s="474">
        <v>42571</v>
      </c>
      <c r="F892" s="161" t="s">
        <v>507</v>
      </c>
      <c r="G892" s="475" t="s">
        <v>704</v>
      </c>
      <c r="H892" s="112" t="s">
        <v>1072</v>
      </c>
      <c r="I892" s="133">
        <v>300</v>
      </c>
      <c r="J892" s="133">
        <v>1648.6893475879999</v>
      </c>
      <c r="K892" s="13">
        <f t="shared" si="44"/>
        <v>494607</v>
      </c>
      <c r="L892" s="113" t="s">
        <v>161</v>
      </c>
      <c r="M892" s="113" t="s">
        <v>159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64"/>
    </row>
    <row r="893" spans="1:26" ht="15.75" hidden="1" customHeight="1">
      <c r="A893" s="120" t="str">
        <f>IF(B893&lt;&gt;"",IF(AND(B893&gt;=_TM1,B893&lt;=_TM2,OR(TH!L893="1111",TH!M893="1111")),TH!D893,""),"")</f>
        <v/>
      </c>
      <c r="B893" s="12">
        <f t="shared" si="40"/>
        <v>7</v>
      </c>
      <c r="C893" s="105">
        <f t="shared" si="38"/>
        <v>42571</v>
      </c>
      <c r="D893" s="110" t="s">
        <v>1071</v>
      </c>
      <c r="E893" s="474">
        <v>42571</v>
      </c>
      <c r="F893" s="161" t="s">
        <v>508</v>
      </c>
      <c r="G893" s="475" t="s">
        <v>705</v>
      </c>
      <c r="H893" s="112" t="s">
        <v>1072</v>
      </c>
      <c r="I893" s="134">
        <v>1559</v>
      </c>
      <c r="J893" s="134">
        <v>5687.9782491785991</v>
      </c>
      <c r="K893" s="13">
        <f t="shared" si="44"/>
        <v>8867558</v>
      </c>
      <c r="L893" s="113" t="s">
        <v>161</v>
      </c>
      <c r="M893" s="113" t="s">
        <v>159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64"/>
    </row>
    <row r="894" spans="1:26" ht="15.75" hidden="1" customHeight="1">
      <c r="A894" s="120" t="str">
        <f>IF(B894&lt;&gt;"",IF(AND(B894&gt;=_TM1,B894&lt;=_TM2,OR(TH!L894="1111",TH!M894="1111")),TH!D894,""),"")</f>
        <v/>
      </c>
      <c r="B894" s="12">
        <f t="shared" si="40"/>
        <v>7</v>
      </c>
      <c r="C894" s="105">
        <f t="shared" si="38"/>
        <v>42572</v>
      </c>
      <c r="D894" s="110" t="s">
        <v>1071</v>
      </c>
      <c r="E894" s="474">
        <v>42572</v>
      </c>
      <c r="F894" s="161" t="s">
        <v>510</v>
      </c>
      <c r="G894" s="475" t="s">
        <v>706</v>
      </c>
      <c r="H894" s="112" t="s">
        <v>1072</v>
      </c>
      <c r="I894" s="133">
        <v>102</v>
      </c>
      <c r="J894" s="133">
        <v>19619.403236297199</v>
      </c>
      <c r="K894" s="13">
        <f t="shared" si="44"/>
        <v>2001179</v>
      </c>
      <c r="L894" s="113" t="s">
        <v>161</v>
      </c>
      <c r="M894" s="113" t="s">
        <v>159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64"/>
    </row>
    <row r="895" spans="1:26" ht="15.75" hidden="1" customHeight="1">
      <c r="A895" s="120" t="str">
        <f>IF(B895&lt;&gt;"",IF(AND(B895&gt;=_TM1,B895&lt;=_TM2,OR(TH!L895="1111",TH!M895="1111")),TH!D895,""),"")</f>
        <v/>
      </c>
      <c r="B895" s="12">
        <f t="shared" si="40"/>
        <v>7</v>
      </c>
      <c r="C895" s="105">
        <f t="shared" si="38"/>
        <v>42572</v>
      </c>
      <c r="D895" s="110" t="s">
        <v>1071</v>
      </c>
      <c r="E895" s="474">
        <v>42572</v>
      </c>
      <c r="F895" s="161" t="s">
        <v>509</v>
      </c>
      <c r="G895" s="475" t="s">
        <v>706</v>
      </c>
      <c r="H895" s="112" t="s">
        <v>1072</v>
      </c>
      <c r="I895" s="133">
        <v>103</v>
      </c>
      <c r="J895" s="133">
        <v>11046.218628839601</v>
      </c>
      <c r="K895" s="13">
        <f t="shared" si="44"/>
        <v>1137761</v>
      </c>
      <c r="L895" s="113" t="s">
        <v>161</v>
      </c>
      <c r="M895" s="113" t="s">
        <v>159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64"/>
    </row>
    <row r="896" spans="1:26" ht="15.75" hidden="1" customHeight="1">
      <c r="A896" s="120" t="str">
        <f>IF(B896&lt;&gt;"",IF(AND(B896&gt;=_TM1,B896&lt;=_TM2,OR(TH!L896="1111",TH!M896="1111")),TH!D896,""),"")</f>
        <v/>
      </c>
      <c r="B896" s="12">
        <f t="shared" si="40"/>
        <v>7</v>
      </c>
      <c r="C896" s="105">
        <f t="shared" si="38"/>
        <v>42573</v>
      </c>
      <c r="D896" s="110" t="s">
        <v>1071</v>
      </c>
      <c r="E896" s="474">
        <v>42573</v>
      </c>
      <c r="F896" s="161" t="s">
        <v>644</v>
      </c>
      <c r="G896" s="475" t="s">
        <v>707</v>
      </c>
      <c r="H896" s="112" t="s">
        <v>1072</v>
      </c>
      <c r="I896" s="136">
        <v>250</v>
      </c>
      <c r="J896" s="136">
        <v>10221.873955045599</v>
      </c>
      <c r="K896" s="13">
        <f t="shared" si="44"/>
        <v>2555468</v>
      </c>
      <c r="L896" s="113" t="s">
        <v>161</v>
      </c>
      <c r="M896" s="113" t="s">
        <v>159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64"/>
    </row>
    <row r="897" spans="1:26" ht="15.75" hidden="1" customHeight="1">
      <c r="A897" s="120" t="str">
        <f>IF(B897&lt;&gt;"",IF(AND(B897&gt;=_TM1,B897&lt;=_TM2,OR(TH!L897="1111",TH!M897="1111")),TH!D897,""),"")</f>
        <v/>
      </c>
      <c r="B897" s="12">
        <f t="shared" si="40"/>
        <v>7</v>
      </c>
      <c r="C897" s="105">
        <f t="shared" si="38"/>
        <v>42573</v>
      </c>
      <c r="D897" s="110" t="s">
        <v>1071</v>
      </c>
      <c r="E897" s="474">
        <v>42573</v>
      </c>
      <c r="F897" s="161" t="s">
        <v>645</v>
      </c>
      <c r="G897" s="475" t="s">
        <v>707</v>
      </c>
      <c r="H897" s="112" t="s">
        <v>1072</v>
      </c>
      <c r="I897" s="133">
        <v>200</v>
      </c>
      <c r="J897" s="133">
        <v>12530.039041668799</v>
      </c>
      <c r="K897" s="13">
        <f t="shared" si="44"/>
        <v>2506008</v>
      </c>
      <c r="L897" s="113" t="s">
        <v>161</v>
      </c>
      <c r="M897" s="113" t="s">
        <v>159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64"/>
    </row>
    <row r="898" spans="1:26" ht="15.75" hidden="1" customHeight="1">
      <c r="A898" s="120" t="str">
        <f>IF(B898&lt;&gt;"",IF(AND(B898&gt;=_TM1,B898&lt;=_TM2,OR(TH!L898="1111",TH!M898="1111")),TH!D898,""),"")</f>
        <v/>
      </c>
      <c r="B898" s="12">
        <f t="shared" si="40"/>
        <v>7</v>
      </c>
      <c r="C898" s="105">
        <f t="shared" si="38"/>
        <v>42573</v>
      </c>
      <c r="D898" s="110" t="s">
        <v>1071</v>
      </c>
      <c r="E898" s="474">
        <v>42573</v>
      </c>
      <c r="F898" s="161" t="s">
        <v>646</v>
      </c>
      <c r="G898" s="475" t="s">
        <v>707</v>
      </c>
      <c r="H898" s="112" t="s">
        <v>1072</v>
      </c>
      <c r="I898" s="133">
        <v>300</v>
      </c>
      <c r="J898" s="133">
        <v>9974.5705529073985</v>
      </c>
      <c r="K898" s="13">
        <f t="shared" si="44"/>
        <v>2992371</v>
      </c>
      <c r="L898" s="113" t="s">
        <v>161</v>
      </c>
      <c r="M898" s="113" t="s">
        <v>159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64"/>
    </row>
    <row r="899" spans="1:26" ht="15.75" hidden="1" customHeight="1">
      <c r="A899" s="120" t="str">
        <f>IF(B899&lt;&gt;"",IF(AND(B899&gt;=_TM1,B899&lt;=_TM2,OR(TH!L899="1111",TH!M899="1111")),TH!D899,""),"")</f>
        <v/>
      </c>
      <c r="B899" s="12">
        <f t="shared" si="40"/>
        <v>7</v>
      </c>
      <c r="C899" s="105">
        <f t="shared" si="38"/>
        <v>42573</v>
      </c>
      <c r="D899" s="110" t="s">
        <v>1071</v>
      </c>
      <c r="E899" s="474">
        <v>42573</v>
      </c>
      <c r="F899" s="161" t="s">
        <v>647</v>
      </c>
      <c r="G899" s="475" t="s">
        <v>707</v>
      </c>
      <c r="H899" s="112" t="s">
        <v>1072</v>
      </c>
      <c r="I899" s="134">
        <v>300</v>
      </c>
      <c r="J899" s="134">
        <v>10963.7841614602</v>
      </c>
      <c r="K899" s="13">
        <f t="shared" si="44"/>
        <v>3289135</v>
      </c>
      <c r="L899" s="113" t="s">
        <v>161</v>
      </c>
      <c r="M899" s="113" t="s">
        <v>159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64"/>
    </row>
    <row r="900" spans="1:26" ht="15.75" hidden="1" customHeight="1">
      <c r="A900" s="120" t="str">
        <f>IF(B900&lt;&gt;"",IF(AND(B900&gt;=_TM1,B900&lt;=_TM2,OR(TH!L900="1111",TH!M900="1111")),TH!D900,""),"")</f>
        <v/>
      </c>
      <c r="B900" s="12">
        <f t="shared" si="40"/>
        <v>7</v>
      </c>
      <c r="C900" s="105">
        <f t="shared" si="38"/>
        <v>42573</v>
      </c>
      <c r="D900" s="110" t="s">
        <v>1071</v>
      </c>
      <c r="E900" s="474">
        <v>42573</v>
      </c>
      <c r="F900" s="161" t="s">
        <v>817</v>
      </c>
      <c r="G900" s="475" t="s">
        <v>707</v>
      </c>
      <c r="H900" s="112" t="s">
        <v>1072</v>
      </c>
      <c r="I900" s="134">
        <v>200</v>
      </c>
      <c r="J900" s="134">
        <v>17228.803682294598</v>
      </c>
      <c r="K900" s="13">
        <f t="shared" si="44"/>
        <v>3445761</v>
      </c>
      <c r="L900" s="113" t="s">
        <v>161</v>
      </c>
      <c r="M900" s="113" t="s">
        <v>159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64"/>
    </row>
    <row r="901" spans="1:26" ht="15.75" hidden="1" customHeight="1">
      <c r="A901" s="120" t="str">
        <f>IF(B901&lt;&gt;"",IF(AND(B901&gt;=_TM1,B901&lt;=_TM2,OR(TH!L901="1111",TH!M901="1111")),TH!D901,""),"")</f>
        <v/>
      </c>
      <c r="B901" s="12">
        <f t="shared" si="40"/>
        <v>7</v>
      </c>
      <c r="C901" s="105">
        <f t="shared" si="38"/>
        <v>42574</v>
      </c>
      <c r="D901" s="110" t="s">
        <v>1071</v>
      </c>
      <c r="E901" s="474">
        <v>42574</v>
      </c>
      <c r="F901" s="161" t="s">
        <v>653</v>
      </c>
      <c r="G901" s="475" t="s">
        <v>708</v>
      </c>
      <c r="H901" s="112" t="s">
        <v>1072</v>
      </c>
      <c r="I901" s="133">
        <v>530</v>
      </c>
      <c r="J901" s="133">
        <v>12777.342443807</v>
      </c>
      <c r="K901" s="13">
        <f t="shared" si="44"/>
        <v>6771991</v>
      </c>
      <c r="L901" s="113" t="s">
        <v>161</v>
      </c>
      <c r="M901" s="113" t="s">
        <v>159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64"/>
    </row>
    <row r="902" spans="1:26" ht="15.75" hidden="1" customHeight="1">
      <c r="A902" s="120" t="str">
        <f>IF(B902&lt;&gt;"",IF(AND(B902&gt;=_TM1,B902&lt;=_TM2,OR(TH!L902="1111",TH!M902="1111")),TH!D902,""),"")</f>
        <v/>
      </c>
      <c r="B902" s="12">
        <f t="shared" si="40"/>
        <v>7</v>
      </c>
      <c r="C902" s="105">
        <f t="shared" si="38"/>
        <v>42574</v>
      </c>
      <c r="D902" s="110" t="s">
        <v>1071</v>
      </c>
      <c r="E902" s="474">
        <v>42574</v>
      </c>
      <c r="F902" s="161" t="s">
        <v>498</v>
      </c>
      <c r="G902" s="475" t="s">
        <v>708</v>
      </c>
      <c r="H902" s="112" t="s">
        <v>1072</v>
      </c>
      <c r="I902" s="133">
        <v>33</v>
      </c>
      <c r="J902" s="133">
        <v>10551.611824563199</v>
      </c>
      <c r="K902" s="13">
        <f t="shared" si="44"/>
        <v>348203</v>
      </c>
      <c r="L902" s="113" t="s">
        <v>161</v>
      </c>
      <c r="M902" s="113" t="s">
        <v>159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64"/>
    </row>
    <row r="903" spans="1:26" ht="15.75" hidden="1" customHeight="1">
      <c r="A903" s="120" t="str">
        <f>IF(B903&lt;&gt;"",IF(AND(B903&gt;=_TM1,B903&lt;=_TM2,OR(TH!L903="1111",TH!M903="1111")),TH!D903,""),"")</f>
        <v/>
      </c>
      <c r="B903" s="12">
        <f t="shared" si="40"/>
        <v>7</v>
      </c>
      <c r="C903" s="105">
        <f t="shared" si="38"/>
        <v>42574</v>
      </c>
      <c r="D903" s="110" t="s">
        <v>1071</v>
      </c>
      <c r="E903" s="474">
        <v>42574</v>
      </c>
      <c r="F903" s="161" t="s">
        <v>654</v>
      </c>
      <c r="G903" s="475" t="s">
        <v>708</v>
      </c>
      <c r="H903" s="112" t="s">
        <v>1072</v>
      </c>
      <c r="I903" s="133">
        <v>630</v>
      </c>
      <c r="J903" s="133">
        <v>11128.653096218999</v>
      </c>
      <c r="K903" s="13">
        <f t="shared" si="44"/>
        <v>7011051</v>
      </c>
      <c r="L903" s="113" t="s">
        <v>161</v>
      </c>
      <c r="M903" s="113" t="s">
        <v>159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64"/>
    </row>
    <row r="904" spans="1:26" ht="15.75" hidden="1" customHeight="1">
      <c r="A904" s="120" t="str">
        <f>IF(B904&lt;&gt;"",IF(AND(B904&gt;=_TM1,B904&lt;=_TM2,OR(TH!L904="1111",TH!M904="1111")),TH!D904,""),"")</f>
        <v/>
      </c>
      <c r="B904" s="12">
        <f t="shared" si="40"/>
        <v>7</v>
      </c>
      <c r="C904" s="105">
        <f t="shared" si="38"/>
        <v>42574</v>
      </c>
      <c r="D904" s="110" t="s">
        <v>1071</v>
      </c>
      <c r="E904" s="474">
        <v>42574</v>
      </c>
      <c r="F904" s="161" t="s">
        <v>660</v>
      </c>
      <c r="G904" s="475" t="s">
        <v>708</v>
      </c>
      <c r="H904" s="112" t="s">
        <v>1072</v>
      </c>
      <c r="I904" s="136">
        <v>352</v>
      </c>
      <c r="J904" s="136">
        <v>9397.5292812515981</v>
      </c>
      <c r="K904" s="13">
        <f t="shared" si="44"/>
        <v>3307930</v>
      </c>
      <c r="L904" s="113" t="s">
        <v>161</v>
      </c>
      <c r="M904" s="113" t="s">
        <v>159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64"/>
    </row>
    <row r="905" spans="1:26" ht="15.75" hidden="1" customHeight="1">
      <c r="A905" s="120" t="str">
        <f>IF(B905&lt;&gt;"",IF(AND(B905&gt;=_TM1,B905&lt;=_TM2,OR(TH!L905="1111",TH!M905="1111")),TH!D905,""),"")</f>
        <v/>
      </c>
      <c r="B905" s="12">
        <f t="shared" si="40"/>
        <v>7</v>
      </c>
      <c r="C905" s="105">
        <f t="shared" si="38"/>
        <v>42574</v>
      </c>
      <c r="D905" s="110" t="s">
        <v>1071</v>
      </c>
      <c r="E905" s="474">
        <v>42574</v>
      </c>
      <c r="F905" s="161" t="s">
        <v>511</v>
      </c>
      <c r="G905" s="475" t="s">
        <v>709</v>
      </c>
      <c r="H905" s="112" t="s">
        <v>1072</v>
      </c>
      <c r="I905" s="133">
        <v>350</v>
      </c>
      <c r="J905" s="133">
        <v>9067.7914117340006</v>
      </c>
      <c r="K905" s="13">
        <f t="shared" si="44"/>
        <v>3173727</v>
      </c>
      <c r="L905" s="113" t="s">
        <v>161</v>
      </c>
      <c r="M905" s="113" t="s">
        <v>159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64"/>
    </row>
    <row r="906" spans="1:26" ht="15.75" hidden="1" customHeight="1">
      <c r="A906" s="120" t="str">
        <f>IF(B906&lt;&gt;"",IF(AND(B906&gt;=_TM1,B906&lt;=_TM2,OR(TH!L906="1111",TH!M906="1111")),TH!D906,""),"")</f>
        <v/>
      </c>
      <c r="B906" s="12">
        <f t="shared" si="40"/>
        <v>7</v>
      </c>
      <c r="C906" s="105">
        <f t="shared" si="38"/>
        <v>42577</v>
      </c>
      <c r="D906" s="110" t="s">
        <v>1071</v>
      </c>
      <c r="E906" s="474">
        <v>42577</v>
      </c>
      <c r="F906" s="161" t="s">
        <v>512</v>
      </c>
      <c r="G906" s="475" t="s">
        <v>710</v>
      </c>
      <c r="H906" s="112" t="s">
        <v>1072</v>
      </c>
      <c r="I906" s="133">
        <v>473</v>
      </c>
      <c r="J906" s="133">
        <v>6677.1918577314</v>
      </c>
      <c r="K906" s="13">
        <f t="shared" si="44"/>
        <v>3158312</v>
      </c>
      <c r="L906" s="113" t="s">
        <v>161</v>
      </c>
      <c r="M906" s="113" t="s">
        <v>159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64"/>
    </row>
    <row r="907" spans="1:26" ht="15.75" hidden="1" customHeight="1">
      <c r="A907" s="120" t="str">
        <f>IF(B907&lt;&gt;"",IF(AND(B907&gt;=_TM1,B907&lt;=_TM2,OR(TH!L907="1111",TH!M907="1111")),TH!D907,""),"")</f>
        <v/>
      </c>
      <c r="B907" s="12">
        <f t="shared" si="40"/>
        <v>7</v>
      </c>
      <c r="C907" s="105">
        <f t="shared" si="38"/>
        <v>42580</v>
      </c>
      <c r="D907" s="110" t="s">
        <v>1071</v>
      </c>
      <c r="E907" s="474">
        <v>42580</v>
      </c>
      <c r="F907" s="161" t="s">
        <v>513</v>
      </c>
      <c r="G907" s="475" t="s">
        <v>711</v>
      </c>
      <c r="H907" s="112" t="s">
        <v>1072</v>
      </c>
      <c r="I907" s="133">
        <v>302</v>
      </c>
      <c r="J907" s="133">
        <v>7831.2744010429988</v>
      </c>
      <c r="K907" s="13">
        <f t="shared" si="44"/>
        <v>2365045</v>
      </c>
      <c r="L907" s="113" t="s">
        <v>161</v>
      </c>
      <c r="M907" s="113" t="s">
        <v>159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64"/>
    </row>
    <row r="908" spans="1:26" ht="15.75" hidden="1" customHeight="1">
      <c r="A908" s="120" t="str">
        <f>IF(B908&lt;&gt;"",IF(AND(B908&gt;=_TM1,B908&lt;=_TM2,OR(TH!L908="1111",TH!M908="1111")),TH!D908,""),"")</f>
        <v/>
      </c>
      <c r="B908" s="12">
        <f t="shared" si="40"/>
        <v>7</v>
      </c>
      <c r="C908" s="105">
        <f t="shared" si="38"/>
        <v>42580</v>
      </c>
      <c r="D908" s="110" t="s">
        <v>1071</v>
      </c>
      <c r="E908" s="474">
        <v>42580</v>
      </c>
      <c r="F908" s="161" t="s">
        <v>514</v>
      </c>
      <c r="G908" s="475" t="s">
        <v>711</v>
      </c>
      <c r="H908" s="112" t="s">
        <v>1072</v>
      </c>
      <c r="I908" s="133">
        <v>527</v>
      </c>
      <c r="J908" s="133">
        <v>7996.1433358017994</v>
      </c>
      <c r="K908" s="13">
        <f t="shared" si="44"/>
        <v>4213968</v>
      </c>
      <c r="L908" s="113" t="s">
        <v>161</v>
      </c>
      <c r="M908" s="113" t="s">
        <v>159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64"/>
    </row>
    <row r="909" spans="1:26" ht="15.75" hidden="1" customHeight="1">
      <c r="A909" s="120" t="str">
        <f>IF(B909&lt;&gt;"",IF(AND(B909&gt;=_TM1,B909&lt;=_TM2,OR(TH!L909="1111",TH!M909="1111")),TH!D909,""),"")</f>
        <v/>
      </c>
      <c r="B909" s="12">
        <f t="shared" si="40"/>
        <v>7</v>
      </c>
      <c r="C909" s="105">
        <f t="shared" si="38"/>
        <v>42580</v>
      </c>
      <c r="D909" s="110" t="s">
        <v>1071</v>
      </c>
      <c r="E909" s="474">
        <v>42580</v>
      </c>
      <c r="F909" s="161" t="s">
        <v>647</v>
      </c>
      <c r="G909" s="475" t="s">
        <v>712</v>
      </c>
      <c r="H909" s="112" t="s">
        <v>1072</v>
      </c>
      <c r="I909" s="133">
        <v>100</v>
      </c>
      <c r="J909" s="133">
        <v>10963.7841614602</v>
      </c>
      <c r="K909" s="13">
        <f t="shared" si="44"/>
        <v>1096378</v>
      </c>
      <c r="L909" s="113" t="s">
        <v>161</v>
      </c>
      <c r="M909" s="113" t="s">
        <v>159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64"/>
    </row>
    <row r="910" spans="1:26" ht="15.75" hidden="1" customHeight="1">
      <c r="A910" s="120" t="str">
        <f>IF(B910&lt;&gt;"",IF(AND(B910&gt;=_TM1,B910&lt;=_TM2,OR(TH!L910="1111",TH!M910="1111")),TH!D910,""),"")</f>
        <v/>
      </c>
      <c r="B910" s="12">
        <f t="shared" si="40"/>
        <v>7</v>
      </c>
      <c r="C910" s="105">
        <f t="shared" si="38"/>
        <v>42580</v>
      </c>
      <c r="D910" s="110" t="s">
        <v>1071</v>
      </c>
      <c r="E910" s="474">
        <v>42580</v>
      </c>
      <c r="F910" s="161" t="s">
        <v>817</v>
      </c>
      <c r="G910" s="475" t="s">
        <v>712</v>
      </c>
      <c r="H910" s="112" t="s">
        <v>1072</v>
      </c>
      <c r="I910" s="133">
        <v>100</v>
      </c>
      <c r="J910" s="133">
        <v>17228.803682294598</v>
      </c>
      <c r="K910" s="13">
        <f t="shared" si="44"/>
        <v>1722880</v>
      </c>
      <c r="L910" s="113" t="s">
        <v>161</v>
      </c>
      <c r="M910" s="113" t="s">
        <v>159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64"/>
    </row>
    <row r="911" spans="1:26" ht="15.75" hidden="1" customHeight="1">
      <c r="A911" s="120" t="str">
        <f>IF(B911&lt;&gt;"",IF(AND(B911&gt;=_TM1,B911&lt;=_TM2,OR(TH!L911="1111",TH!M911="1111")),TH!D911,""),"")</f>
        <v/>
      </c>
      <c r="B911" s="12">
        <f t="shared" si="40"/>
        <v>8</v>
      </c>
      <c r="C911" s="105">
        <f t="shared" si="38"/>
        <v>42583</v>
      </c>
      <c r="D911" s="110" t="s">
        <v>1071</v>
      </c>
      <c r="E911" s="474">
        <v>42583</v>
      </c>
      <c r="F911" s="161" t="s">
        <v>508</v>
      </c>
      <c r="G911" s="475" t="s">
        <v>713</v>
      </c>
      <c r="H911" s="112" t="s">
        <v>1072</v>
      </c>
      <c r="I911" s="133">
        <v>500</v>
      </c>
      <c r="J911" s="133">
        <v>5687.9782491785991</v>
      </c>
      <c r="K911" s="13">
        <f t="shared" si="44"/>
        <v>2843989</v>
      </c>
      <c r="L911" s="113" t="s">
        <v>161</v>
      </c>
      <c r="M911" s="113" t="s">
        <v>159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64"/>
    </row>
    <row r="912" spans="1:26" ht="15.75" hidden="1" customHeight="1">
      <c r="A912" s="120" t="str">
        <f>IF(B912&lt;&gt;"",IF(AND(B912&gt;=_TM1,B912&lt;=_TM2,OR(TH!L912="1111",TH!M912="1111")),TH!D912,""),"")</f>
        <v/>
      </c>
      <c r="B912" s="12">
        <f t="shared" si="40"/>
        <v>8</v>
      </c>
      <c r="C912" s="105">
        <f t="shared" si="38"/>
        <v>42584</v>
      </c>
      <c r="D912" s="110" t="s">
        <v>1071</v>
      </c>
      <c r="E912" s="474">
        <v>42584</v>
      </c>
      <c r="F912" s="161" t="s">
        <v>515</v>
      </c>
      <c r="G912" s="475" t="s">
        <v>714</v>
      </c>
      <c r="H912" s="112" t="s">
        <v>1072</v>
      </c>
      <c r="I912" s="133">
        <v>606</v>
      </c>
      <c r="J912" s="133">
        <v>5852.8471839373997</v>
      </c>
      <c r="K912" s="13">
        <f t="shared" si="44"/>
        <v>3546825</v>
      </c>
      <c r="L912" s="113" t="s">
        <v>161</v>
      </c>
      <c r="M912" s="113" t="s">
        <v>159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64"/>
    </row>
    <row r="913" spans="1:26" ht="15.75" hidden="1" customHeight="1">
      <c r="A913" s="120" t="str">
        <f>IF(B913&lt;&gt;"",IF(AND(B913&gt;=_TM1,B913&lt;=_TM2,OR(TH!L913="1111",TH!M913="1111")),TH!D913,""),"")</f>
        <v/>
      </c>
      <c r="B913" s="12">
        <f t="shared" si="40"/>
        <v>8</v>
      </c>
      <c r="C913" s="105">
        <f t="shared" si="38"/>
        <v>42584</v>
      </c>
      <c r="D913" s="110" t="s">
        <v>1071</v>
      </c>
      <c r="E913" s="474">
        <v>42584</v>
      </c>
      <c r="F913" s="161" t="s">
        <v>516</v>
      </c>
      <c r="G913" s="475" t="s">
        <v>714</v>
      </c>
      <c r="H913" s="112" t="s">
        <v>1072</v>
      </c>
      <c r="I913" s="133">
        <v>404</v>
      </c>
      <c r="J913" s="133">
        <v>8985.3569443546003</v>
      </c>
      <c r="K913" s="13">
        <f t="shared" si="44"/>
        <v>3630084</v>
      </c>
      <c r="L913" s="113" t="s">
        <v>161</v>
      </c>
      <c r="M913" s="113" t="s">
        <v>159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64"/>
    </row>
    <row r="914" spans="1:26" ht="15.75" hidden="1" customHeight="1">
      <c r="A914" s="120" t="str">
        <f>IF(B914&lt;&gt;"",IF(AND(B914&gt;=_TM1,B914&lt;=_TM2,OR(TH!L914="1111",TH!M914="1111")),TH!D914,""),"")</f>
        <v/>
      </c>
      <c r="B914" s="12">
        <f t="shared" si="40"/>
        <v>8</v>
      </c>
      <c r="C914" s="105">
        <f t="shared" si="38"/>
        <v>42584</v>
      </c>
      <c r="D914" s="110" t="s">
        <v>1071</v>
      </c>
      <c r="E914" s="474">
        <v>42584</v>
      </c>
      <c r="F914" s="161" t="s">
        <v>517</v>
      </c>
      <c r="G914" s="475" t="s">
        <v>714</v>
      </c>
      <c r="H914" s="112" t="s">
        <v>1072</v>
      </c>
      <c r="I914" s="133">
        <v>304</v>
      </c>
      <c r="J914" s="133">
        <v>10881.3496940808</v>
      </c>
      <c r="K914" s="13">
        <f t="shared" si="44"/>
        <v>3307930</v>
      </c>
      <c r="L914" s="113" t="s">
        <v>161</v>
      </c>
      <c r="M914" s="113" t="s">
        <v>159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64"/>
    </row>
    <row r="915" spans="1:26" ht="15.75" hidden="1" customHeight="1">
      <c r="A915" s="120" t="str">
        <f>IF(B915&lt;&gt;"",IF(AND(B915&gt;=_TM1,B915&lt;=_TM2,OR(TH!L915="1111",TH!M915="1111")),TH!D915,""),"")</f>
        <v/>
      </c>
      <c r="B915" s="12">
        <f t="shared" si="40"/>
        <v>8</v>
      </c>
      <c r="C915" s="105">
        <f t="shared" si="38"/>
        <v>42584</v>
      </c>
      <c r="D915" s="110" t="s">
        <v>1071</v>
      </c>
      <c r="E915" s="474">
        <v>42584</v>
      </c>
      <c r="F915" s="161" t="s">
        <v>518</v>
      </c>
      <c r="G915" s="475" t="s">
        <v>715</v>
      </c>
      <c r="H915" s="112" t="s">
        <v>1072</v>
      </c>
      <c r="I915" s="133">
        <v>1335</v>
      </c>
      <c r="J915" s="133">
        <v>6759.6263251107994</v>
      </c>
      <c r="K915" s="13">
        <f t="shared" si="44"/>
        <v>9024101</v>
      </c>
      <c r="L915" s="113" t="s">
        <v>161</v>
      </c>
      <c r="M915" s="113" t="s">
        <v>159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64"/>
    </row>
    <row r="916" spans="1:26" ht="15.75" hidden="1" customHeight="1">
      <c r="A916" s="120" t="str">
        <f>IF(B916&lt;&gt;"",IF(AND(B916&gt;=_TM1,B916&lt;=_TM2,OR(TH!L916="1111",TH!M916="1111")),TH!D916,""),"")</f>
        <v/>
      </c>
      <c r="B916" s="12">
        <f t="shared" si="40"/>
        <v>8</v>
      </c>
      <c r="C916" s="105">
        <f t="shared" si="38"/>
        <v>42584</v>
      </c>
      <c r="D916" s="110" t="s">
        <v>1071</v>
      </c>
      <c r="E916" s="474">
        <v>42584</v>
      </c>
      <c r="F916" s="161" t="s">
        <v>519</v>
      </c>
      <c r="G916" s="475" t="s">
        <v>715</v>
      </c>
      <c r="H916" s="112" t="s">
        <v>1072</v>
      </c>
      <c r="I916" s="133">
        <v>302</v>
      </c>
      <c r="J916" s="133">
        <v>6100.1505860755997</v>
      </c>
      <c r="K916" s="13">
        <f t="shared" si="44"/>
        <v>1842245</v>
      </c>
      <c r="L916" s="113" t="s">
        <v>161</v>
      </c>
      <c r="M916" s="113" t="s">
        <v>159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64"/>
    </row>
    <row r="917" spans="1:26" ht="15.75" hidden="1" customHeight="1">
      <c r="A917" s="120" t="str">
        <f>IF(B917&lt;&gt;"",IF(AND(B917&gt;=_TM1,B917&lt;=_TM2,OR(TH!L917="1111",TH!M917="1111")),TH!D917,""),"")</f>
        <v/>
      </c>
      <c r="B917" s="12">
        <f t="shared" si="40"/>
        <v>8</v>
      </c>
      <c r="C917" s="105">
        <f t="shared" ref="C917:C925" si="45">E917</f>
        <v>42584</v>
      </c>
      <c r="D917" s="110" t="s">
        <v>1071</v>
      </c>
      <c r="E917" s="474">
        <v>42584</v>
      </c>
      <c r="F917" s="161" t="s">
        <v>520</v>
      </c>
      <c r="G917" s="475" t="s">
        <v>715</v>
      </c>
      <c r="H917" s="112" t="s">
        <v>1072</v>
      </c>
      <c r="I917" s="133">
        <v>420</v>
      </c>
      <c r="J917" s="133">
        <v>13024.645845945199</v>
      </c>
      <c r="K917" s="13">
        <f t="shared" si="44"/>
        <v>5470351</v>
      </c>
      <c r="L917" s="113" t="s">
        <v>161</v>
      </c>
      <c r="M917" s="113" t="s">
        <v>159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64"/>
    </row>
    <row r="918" spans="1:26" ht="15.75" hidden="1" customHeight="1">
      <c r="A918" s="120" t="str">
        <f>IF(B918&lt;&gt;"",IF(AND(B918&gt;=_TM1,B918&lt;=_TM2,OR(TH!L918="1111",TH!M918="1111")),TH!D918,""),"")</f>
        <v/>
      </c>
      <c r="B918" s="12">
        <f t="shared" si="40"/>
        <v>8</v>
      </c>
      <c r="C918" s="105">
        <f t="shared" si="45"/>
        <v>42585</v>
      </c>
      <c r="D918" s="110" t="s">
        <v>1071</v>
      </c>
      <c r="E918" s="474">
        <v>42585</v>
      </c>
      <c r="F918" s="161" t="s">
        <v>521</v>
      </c>
      <c r="G918" s="475" t="s">
        <v>716</v>
      </c>
      <c r="H918" s="112" t="s">
        <v>1072</v>
      </c>
      <c r="I918" s="133">
        <v>427</v>
      </c>
      <c r="J918" s="133">
        <v>7913.7088684223991</v>
      </c>
      <c r="K918" s="13">
        <f t="shared" si="44"/>
        <v>3379154</v>
      </c>
      <c r="L918" s="113" t="s">
        <v>161</v>
      </c>
      <c r="M918" s="113" t="s">
        <v>159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64"/>
    </row>
    <row r="919" spans="1:26" ht="15.75" hidden="1" customHeight="1">
      <c r="A919" s="120" t="str">
        <f>IF(B919&lt;&gt;"",IF(AND(B919&gt;=_TM1,B919&lt;=_TM2,OR(TH!L919="1111",TH!M919="1111")),TH!D919,""),"")</f>
        <v/>
      </c>
      <c r="B919" s="12">
        <f t="shared" si="40"/>
        <v>8</v>
      </c>
      <c r="C919" s="105">
        <f t="shared" si="45"/>
        <v>42588</v>
      </c>
      <c r="D919" s="110" t="s">
        <v>1071</v>
      </c>
      <c r="E919" s="474">
        <v>42588</v>
      </c>
      <c r="F919" s="161" t="s">
        <v>536</v>
      </c>
      <c r="G919" s="475" t="s">
        <v>717</v>
      </c>
      <c r="H919" s="112" t="s">
        <v>1072</v>
      </c>
      <c r="I919" s="133">
        <v>108</v>
      </c>
      <c r="J919" s="133">
        <v>6429.8884555932</v>
      </c>
      <c r="K919" s="13">
        <f t="shared" si="44"/>
        <v>694428</v>
      </c>
      <c r="L919" s="113" t="s">
        <v>161</v>
      </c>
      <c r="M919" s="113" t="s">
        <v>159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64"/>
    </row>
    <row r="920" spans="1:26" ht="15.75" hidden="1" customHeight="1">
      <c r="A920" s="120" t="str">
        <f>IF(B920&lt;&gt;"",IF(AND(B920&gt;=_TM1,B920&lt;=_TM2,OR(TH!L920="1111",TH!M920="1111")),TH!D920,""),"")</f>
        <v/>
      </c>
      <c r="B920" s="12">
        <f t="shared" si="40"/>
        <v>8</v>
      </c>
      <c r="C920" s="105">
        <f t="shared" si="45"/>
        <v>42588</v>
      </c>
      <c r="D920" s="110" t="s">
        <v>1071</v>
      </c>
      <c r="E920" s="474">
        <v>42588</v>
      </c>
      <c r="F920" s="161" t="s">
        <v>662</v>
      </c>
      <c r="G920" s="475" t="s">
        <v>717</v>
      </c>
      <c r="H920" s="112" t="s">
        <v>1072</v>
      </c>
      <c r="I920" s="133">
        <v>103</v>
      </c>
      <c r="J920" s="133">
        <v>7748.8399336635994</v>
      </c>
      <c r="K920" s="13">
        <f t="shared" si="44"/>
        <v>798131</v>
      </c>
      <c r="L920" s="113" t="s">
        <v>161</v>
      </c>
      <c r="M920" s="113" t="s">
        <v>159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64"/>
    </row>
    <row r="921" spans="1:26" ht="15.75" hidden="1" customHeight="1">
      <c r="A921" s="120" t="str">
        <f>IF(B921&lt;&gt;"",IF(AND(B921&gt;=_TM1,B921&lt;=_TM2,OR(TH!L921="1111",TH!M921="1111")),TH!D921,""),"")</f>
        <v/>
      </c>
      <c r="B921" s="12">
        <f t="shared" si="40"/>
        <v>8</v>
      </c>
      <c r="C921" s="105">
        <f t="shared" si="45"/>
        <v>42591</v>
      </c>
      <c r="D921" s="110" t="s">
        <v>1071</v>
      </c>
      <c r="E921" s="474">
        <v>42591</v>
      </c>
      <c r="F921" s="161" t="s">
        <v>522</v>
      </c>
      <c r="G921" s="475" t="s">
        <v>718</v>
      </c>
      <c r="H921" s="112" t="s">
        <v>1072</v>
      </c>
      <c r="I921" s="133">
        <v>490</v>
      </c>
      <c r="J921" s="133">
        <v>6017.7161186961994</v>
      </c>
      <c r="K921" s="13">
        <f t="shared" si="44"/>
        <v>2948681</v>
      </c>
      <c r="L921" s="113" t="s">
        <v>161</v>
      </c>
      <c r="M921" s="113" t="s">
        <v>159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64"/>
    </row>
    <row r="922" spans="1:26" ht="15.75" hidden="1" customHeight="1">
      <c r="A922" s="120" t="str">
        <f>IF(B922&lt;&gt;"",IF(AND(B922&gt;=_TM1,B922&lt;=_TM2,OR(TH!L922="1111",TH!M922="1111")),TH!D922,""),"")</f>
        <v/>
      </c>
      <c r="B922" s="12">
        <f t="shared" si="40"/>
        <v>8</v>
      </c>
      <c r="C922" s="105">
        <f t="shared" si="45"/>
        <v>42592</v>
      </c>
      <c r="D922" s="110" t="s">
        <v>1071</v>
      </c>
      <c r="E922" s="474">
        <v>42592</v>
      </c>
      <c r="F922" s="161" t="s">
        <v>524</v>
      </c>
      <c r="G922" s="475" t="s">
        <v>719</v>
      </c>
      <c r="H922" s="112" t="s">
        <v>1072</v>
      </c>
      <c r="I922" s="133">
        <v>403</v>
      </c>
      <c r="J922" s="133">
        <v>15497.679867327199</v>
      </c>
      <c r="K922" s="13">
        <f t="shared" si="44"/>
        <v>6245565</v>
      </c>
      <c r="L922" s="113" t="s">
        <v>161</v>
      </c>
      <c r="M922" s="113" t="s">
        <v>159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64"/>
    </row>
    <row r="923" spans="1:26" ht="15.75" hidden="1" customHeight="1">
      <c r="A923" s="120" t="str">
        <f>IF(B923&lt;&gt;"",IF(AND(B923&gt;=_TM1,B923&lt;=_TM2,OR(TH!L923="1111",TH!M923="1111")),TH!D923,""),"")</f>
        <v/>
      </c>
      <c r="B923" s="12">
        <f t="shared" si="40"/>
        <v>8</v>
      </c>
      <c r="C923" s="105">
        <f t="shared" si="45"/>
        <v>42592</v>
      </c>
      <c r="D923" s="110" t="s">
        <v>1071</v>
      </c>
      <c r="E923" s="474">
        <v>42592</v>
      </c>
      <c r="F923" s="161" t="s">
        <v>645</v>
      </c>
      <c r="G923" s="475" t="s">
        <v>720</v>
      </c>
      <c r="H923" s="112" t="s">
        <v>1072</v>
      </c>
      <c r="I923" s="133">
        <v>30</v>
      </c>
      <c r="J923" s="133">
        <v>12530.039041668799</v>
      </c>
      <c r="K923" s="13">
        <f t="shared" si="44"/>
        <v>375901</v>
      </c>
      <c r="L923" s="113" t="s">
        <v>161</v>
      </c>
      <c r="M923" s="113" t="s">
        <v>159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64"/>
    </row>
    <row r="924" spans="1:26" ht="15.75" hidden="1" customHeight="1">
      <c r="A924" s="120" t="str">
        <f>IF(B924&lt;&gt;"",IF(AND(B924&gt;=_TM1,B924&lt;=_TM2,OR(TH!L924="1111",TH!M924="1111")),TH!D924,""),"")</f>
        <v/>
      </c>
      <c r="B924" s="12">
        <f t="shared" si="40"/>
        <v>8</v>
      </c>
      <c r="C924" s="105">
        <f t="shared" si="45"/>
        <v>42592</v>
      </c>
      <c r="D924" s="110" t="s">
        <v>1071</v>
      </c>
      <c r="E924" s="474">
        <v>42592</v>
      </c>
      <c r="F924" s="161" t="s">
        <v>648</v>
      </c>
      <c r="G924" s="475" t="s">
        <v>720</v>
      </c>
      <c r="H924" s="112" t="s">
        <v>1072</v>
      </c>
      <c r="I924" s="134">
        <v>30</v>
      </c>
      <c r="J924" s="134">
        <v>8985.3569443546003</v>
      </c>
      <c r="K924" s="13">
        <f t="shared" si="44"/>
        <v>269561</v>
      </c>
      <c r="L924" s="113" t="s">
        <v>161</v>
      </c>
      <c r="M924" s="113" t="s">
        <v>159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64"/>
    </row>
    <row r="925" spans="1:26" ht="15.75" hidden="1" customHeight="1">
      <c r="A925" s="120" t="str">
        <f>IF(B925&lt;&gt;"",IF(AND(B925&gt;=_TM1,B925&lt;=_TM2,OR(TH!L925="1111",TH!M925="1111")),TH!D925,""),"")</f>
        <v/>
      </c>
      <c r="B925" s="12">
        <f t="shared" si="40"/>
        <v>8</v>
      </c>
      <c r="C925" s="105">
        <f t="shared" si="45"/>
        <v>42592</v>
      </c>
      <c r="D925" s="110" t="s">
        <v>1071</v>
      </c>
      <c r="E925" s="474">
        <v>42592</v>
      </c>
      <c r="F925" s="161" t="s">
        <v>646</v>
      </c>
      <c r="G925" s="475" t="s">
        <v>720</v>
      </c>
      <c r="H925" s="112" t="s">
        <v>1072</v>
      </c>
      <c r="I925" s="133">
        <v>30</v>
      </c>
      <c r="J925" s="133">
        <v>9974.5705529073985</v>
      </c>
      <c r="K925" s="13">
        <f t="shared" si="44"/>
        <v>299237</v>
      </c>
      <c r="L925" s="113" t="s">
        <v>161</v>
      </c>
      <c r="M925" s="113" t="s">
        <v>159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64"/>
    </row>
    <row r="926" spans="1:26" ht="15.75" hidden="1" customHeight="1">
      <c r="A926" s="120" t="str">
        <f>IF(B926&lt;&gt;"",IF(AND(B926&gt;=_TM1,B926&lt;=_TM2,OR(TH!L926="1111",TH!M926="1111")),TH!D926,""),"")</f>
        <v/>
      </c>
      <c r="B926" s="12">
        <f t="shared" si="40"/>
        <v>8</v>
      </c>
      <c r="C926" s="105">
        <f t="shared" ref="C926:C989" si="46">E926</f>
        <v>42592</v>
      </c>
      <c r="D926" s="110" t="s">
        <v>1071</v>
      </c>
      <c r="E926" s="474">
        <v>42592</v>
      </c>
      <c r="F926" s="161" t="s">
        <v>647</v>
      </c>
      <c r="G926" s="475" t="s">
        <v>720</v>
      </c>
      <c r="H926" s="112" t="s">
        <v>1072</v>
      </c>
      <c r="I926" s="133">
        <v>100</v>
      </c>
      <c r="J926" s="133">
        <v>10963.7841614602</v>
      </c>
      <c r="K926" s="13">
        <f t="shared" si="44"/>
        <v>1096378</v>
      </c>
      <c r="L926" s="113" t="s">
        <v>161</v>
      </c>
      <c r="M926" s="113" t="s">
        <v>159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64"/>
    </row>
    <row r="927" spans="1:26" ht="15.75" hidden="1" customHeight="1">
      <c r="A927" s="120" t="str">
        <f>IF(B927&lt;&gt;"",IF(AND(B927&gt;=_TM1,B927&lt;=_TM2,OR(TH!L927="1111",TH!M927="1111")),TH!D927,""),"")</f>
        <v/>
      </c>
      <c r="B927" s="12">
        <f t="shared" si="40"/>
        <v>8</v>
      </c>
      <c r="C927" s="105">
        <f t="shared" si="46"/>
        <v>42592</v>
      </c>
      <c r="D927" s="110" t="s">
        <v>1071</v>
      </c>
      <c r="E927" s="474">
        <v>42592</v>
      </c>
      <c r="F927" s="161" t="s">
        <v>817</v>
      </c>
      <c r="G927" s="475" t="s">
        <v>720</v>
      </c>
      <c r="H927" s="112" t="s">
        <v>1072</v>
      </c>
      <c r="I927" s="133">
        <v>60</v>
      </c>
      <c r="J927" s="133">
        <v>17228.803682294598</v>
      </c>
      <c r="K927" s="13">
        <f t="shared" si="44"/>
        <v>1033728</v>
      </c>
      <c r="L927" s="113" t="s">
        <v>161</v>
      </c>
      <c r="M927" s="113" t="s">
        <v>159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64"/>
    </row>
    <row r="928" spans="1:26" ht="15.75" hidden="1" customHeight="1">
      <c r="A928" s="120" t="str">
        <f>IF(B928&lt;&gt;"",IF(AND(B928&gt;=_TM1,B928&lt;=_TM2,OR(TH!L928="1111",TH!M928="1111")),TH!D928,""),"")</f>
        <v/>
      </c>
      <c r="B928" s="12">
        <f t="shared" si="40"/>
        <v>8</v>
      </c>
      <c r="C928" s="105">
        <f t="shared" si="46"/>
        <v>42592</v>
      </c>
      <c r="D928" s="110" t="s">
        <v>1071</v>
      </c>
      <c r="E928" s="474">
        <v>42592</v>
      </c>
      <c r="F928" s="161" t="s">
        <v>524</v>
      </c>
      <c r="G928" s="475" t="s">
        <v>721</v>
      </c>
      <c r="H928" s="112" t="s">
        <v>1072</v>
      </c>
      <c r="I928" s="133">
        <v>403</v>
      </c>
      <c r="J928" s="133">
        <v>15497.679867327199</v>
      </c>
      <c r="K928" s="13">
        <f t="shared" si="44"/>
        <v>6245565</v>
      </c>
      <c r="L928" s="113" t="s">
        <v>161</v>
      </c>
      <c r="M928" s="113" t="s">
        <v>159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64"/>
    </row>
    <row r="929" spans="1:26" ht="15.75" hidden="1" customHeight="1">
      <c r="A929" s="120" t="str">
        <f>IF(B929&lt;&gt;"",IF(AND(B929&gt;=_TM1,B929&lt;=_TM2,OR(TH!L929="1111",TH!M929="1111")),TH!D929,""),"")</f>
        <v/>
      </c>
      <c r="B929" s="12">
        <f t="shared" si="40"/>
        <v>8</v>
      </c>
      <c r="C929" s="105">
        <f t="shared" si="46"/>
        <v>42594</v>
      </c>
      <c r="D929" s="110" t="s">
        <v>1071</v>
      </c>
      <c r="E929" s="474">
        <v>42594</v>
      </c>
      <c r="F929" s="161" t="s">
        <v>655</v>
      </c>
      <c r="G929" s="475" t="s">
        <v>722</v>
      </c>
      <c r="H929" s="112" t="s">
        <v>1072</v>
      </c>
      <c r="I929" s="133">
        <v>1330</v>
      </c>
      <c r="J929" s="133">
        <v>10469.177357183798</v>
      </c>
      <c r="K929" s="13">
        <f t="shared" si="44"/>
        <v>13924006</v>
      </c>
      <c r="L929" s="113" t="s">
        <v>161</v>
      </c>
      <c r="M929" s="113" t="s">
        <v>159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64"/>
    </row>
    <row r="930" spans="1:26" ht="15.75" hidden="1" customHeight="1">
      <c r="A930" s="120" t="str">
        <f>IF(B930&lt;&gt;"",IF(AND(B930&gt;=_TM1,B930&lt;=_TM2,OR(TH!L930="1111",TH!M930="1111")),TH!D930,""),"")</f>
        <v/>
      </c>
      <c r="B930" s="12">
        <f t="shared" si="40"/>
        <v>8</v>
      </c>
      <c r="C930" s="105">
        <f t="shared" si="46"/>
        <v>42594</v>
      </c>
      <c r="D930" s="110" t="s">
        <v>1071</v>
      </c>
      <c r="E930" s="474">
        <v>42594</v>
      </c>
      <c r="F930" s="161" t="s">
        <v>655</v>
      </c>
      <c r="G930" s="475" t="s">
        <v>722</v>
      </c>
      <c r="H930" s="112" t="s">
        <v>1072</v>
      </c>
      <c r="I930" s="133">
        <v>80</v>
      </c>
      <c r="J930" s="133">
        <v>10469.177357183798</v>
      </c>
      <c r="K930" s="13">
        <f t="shared" si="44"/>
        <v>837534</v>
      </c>
      <c r="L930" s="113" t="s">
        <v>161</v>
      </c>
      <c r="M930" s="113" t="s">
        <v>159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64"/>
    </row>
    <row r="931" spans="1:26" ht="15.75" hidden="1" customHeight="1">
      <c r="A931" s="120" t="str">
        <f>IF(B931&lt;&gt;"",IF(AND(B931&gt;=_TM1,B931&lt;=_TM2,OR(TH!L931="1111",TH!M931="1111")),TH!D931,""),"")</f>
        <v/>
      </c>
      <c r="B931" s="12">
        <f t="shared" si="40"/>
        <v>8</v>
      </c>
      <c r="C931" s="105">
        <f t="shared" si="46"/>
        <v>42594</v>
      </c>
      <c r="D931" s="110" t="s">
        <v>1071</v>
      </c>
      <c r="E931" s="474">
        <v>42594</v>
      </c>
      <c r="F931" s="161" t="s">
        <v>656</v>
      </c>
      <c r="G931" s="475" t="s">
        <v>722</v>
      </c>
      <c r="H931" s="112" t="s">
        <v>1072</v>
      </c>
      <c r="I931" s="133">
        <v>35</v>
      </c>
      <c r="J931" s="133">
        <v>10634.046291942599</v>
      </c>
      <c r="K931" s="13">
        <f t="shared" si="44"/>
        <v>372192</v>
      </c>
      <c r="L931" s="113" t="s">
        <v>161</v>
      </c>
      <c r="M931" s="113" t="s">
        <v>159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64"/>
    </row>
    <row r="932" spans="1:26" ht="15.75" hidden="1" customHeight="1">
      <c r="A932" s="120" t="str">
        <f>IF(B932&lt;&gt;"",IF(AND(B932&gt;=_TM1,B932&lt;=_TM2,OR(TH!L932="1111",TH!M932="1111")),TH!D932,""),"")</f>
        <v/>
      </c>
      <c r="B932" s="12">
        <f t="shared" si="40"/>
        <v>8</v>
      </c>
      <c r="C932" s="105">
        <f t="shared" si="46"/>
        <v>42594</v>
      </c>
      <c r="D932" s="110" t="s">
        <v>1071</v>
      </c>
      <c r="E932" s="474">
        <v>42594</v>
      </c>
      <c r="F932" s="161" t="s">
        <v>657</v>
      </c>
      <c r="G932" s="475" t="s">
        <v>722</v>
      </c>
      <c r="H932" s="112" t="s">
        <v>1072</v>
      </c>
      <c r="I932" s="133">
        <v>90</v>
      </c>
      <c r="J932" s="133">
        <v>8738.0535422163994</v>
      </c>
      <c r="K932" s="13">
        <f t="shared" si="44"/>
        <v>786425</v>
      </c>
      <c r="L932" s="113" t="s">
        <v>161</v>
      </c>
      <c r="M932" s="113" t="s">
        <v>159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64"/>
    </row>
    <row r="933" spans="1:26" ht="15.75" hidden="1" customHeight="1">
      <c r="A933" s="120" t="str">
        <f>IF(B933&lt;&gt;"",IF(AND(B933&gt;=_TM1,B933&lt;=_TM2,OR(TH!L933="1111",TH!M933="1111")),TH!D933,""),"")</f>
        <v/>
      </c>
      <c r="B933" s="12">
        <f t="shared" si="40"/>
        <v>8</v>
      </c>
      <c r="C933" s="105">
        <f t="shared" si="46"/>
        <v>42594</v>
      </c>
      <c r="D933" s="110" t="s">
        <v>1071</v>
      </c>
      <c r="E933" s="474">
        <v>42594</v>
      </c>
      <c r="F933" s="161" t="s">
        <v>658</v>
      </c>
      <c r="G933" s="475" t="s">
        <v>722</v>
      </c>
      <c r="H933" s="112" t="s">
        <v>1072</v>
      </c>
      <c r="I933" s="133">
        <v>650</v>
      </c>
      <c r="J933" s="133">
        <v>6842.0607924901988</v>
      </c>
      <c r="K933" s="13">
        <f t="shared" si="44"/>
        <v>4447340</v>
      </c>
      <c r="L933" s="113" t="s">
        <v>161</v>
      </c>
      <c r="M933" s="113" t="s">
        <v>159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64"/>
    </row>
    <row r="934" spans="1:26" ht="15.75" hidden="1" customHeight="1">
      <c r="A934" s="120" t="str">
        <f>IF(B934&lt;&gt;"",IF(AND(B934&gt;=_TM1,B934&lt;=_TM2,OR(TH!L934="1111",TH!M934="1111")),TH!D934,""),"")</f>
        <v/>
      </c>
      <c r="B934" s="12">
        <f t="shared" si="40"/>
        <v>8</v>
      </c>
      <c r="C934" s="105">
        <f t="shared" si="46"/>
        <v>42594</v>
      </c>
      <c r="D934" s="110" t="s">
        <v>1071</v>
      </c>
      <c r="E934" s="474">
        <v>42594</v>
      </c>
      <c r="F934" s="161" t="s">
        <v>659</v>
      </c>
      <c r="G934" s="475" t="s">
        <v>722</v>
      </c>
      <c r="H934" s="112" t="s">
        <v>1072</v>
      </c>
      <c r="I934" s="133">
        <v>210</v>
      </c>
      <c r="J934" s="133">
        <v>10881.3496940808</v>
      </c>
      <c r="K934" s="13">
        <f t="shared" ref="K934:K997" si="47">ROUND(I934*J934,0)</f>
        <v>2285083</v>
      </c>
      <c r="L934" s="113" t="s">
        <v>161</v>
      </c>
      <c r="M934" s="113" t="s">
        <v>159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64"/>
    </row>
    <row r="935" spans="1:26" ht="15.75" hidden="1" customHeight="1">
      <c r="A935" s="120" t="str">
        <f>IF(B935&lt;&gt;"",IF(AND(B935&gt;=_TM1,B935&lt;=_TM2,OR(TH!L935="1111",TH!M935="1111")),TH!D935,""),"")</f>
        <v/>
      </c>
      <c r="B935" s="12">
        <f t="shared" si="40"/>
        <v>8</v>
      </c>
      <c r="C935" s="105">
        <f t="shared" si="46"/>
        <v>42597</v>
      </c>
      <c r="D935" s="110" t="s">
        <v>1071</v>
      </c>
      <c r="E935" s="474">
        <v>42597</v>
      </c>
      <c r="F935" s="161" t="s">
        <v>525</v>
      </c>
      <c r="G935" s="475" t="s">
        <v>723</v>
      </c>
      <c r="H935" s="112" t="s">
        <v>1072</v>
      </c>
      <c r="I935" s="133">
        <v>429</v>
      </c>
      <c r="J935" s="133">
        <v>6594.7573903519997</v>
      </c>
      <c r="K935" s="13">
        <f t="shared" si="47"/>
        <v>2829151</v>
      </c>
      <c r="L935" s="113" t="s">
        <v>161</v>
      </c>
      <c r="M935" s="113" t="s">
        <v>159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64"/>
    </row>
    <row r="936" spans="1:26" ht="15.75" hidden="1" customHeight="1">
      <c r="A936" s="120" t="str">
        <f>IF(B936&lt;&gt;"",IF(AND(B936&gt;=_TM1,B936&lt;=_TM2,OR(TH!L936="1111",TH!M936="1111")),TH!D936,""),"")</f>
        <v/>
      </c>
      <c r="B936" s="12">
        <f t="shared" ref="B936:B999" si="48">IF(C936&lt;&gt;"",MONTH(C936),"")</f>
        <v>8</v>
      </c>
      <c r="C936" s="105">
        <f t="shared" si="46"/>
        <v>42597</v>
      </c>
      <c r="D936" s="110" t="s">
        <v>1071</v>
      </c>
      <c r="E936" s="474">
        <v>42597</v>
      </c>
      <c r="F936" s="161" t="s">
        <v>526</v>
      </c>
      <c r="G936" s="475" t="s">
        <v>723</v>
      </c>
      <c r="H936" s="112" t="s">
        <v>1072</v>
      </c>
      <c r="I936" s="133">
        <v>370</v>
      </c>
      <c r="J936" s="133">
        <v>7666.4054662842</v>
      </c>
      <c r="K936" s="13">
        <f t="shared" si="47"/>
        <v>2836570</v>
      </c>
      <c r="L936" s="113" t="s">
        <v>161</v>
      </c>
      <c r="M936" s="113" t="s">
        <v>159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64"/>
    </row>
    <row r="937" spans="1:26" ht="15.75" hidden="1" customHeight="1">
      <c r="A937" s="120" t="str">
        <f>IF(B937&lt;&gt;"",IF(AND(B937&gt;=_TM1,B937&lt;=_TM2,OR(TH!L937="1111",TH!M937="1111")),TH!D937,""),"")</f>
        <v/>
      </c>
      <c r="B937" s="12">
        <f t="shared" si="48"/>
        <v>8</v>
      </c>
      <c r="C937" s="105">
        <f t="shared" si="46"/>
        <v>42597</v>
      </c>
      <c r="D937" s="110" t="s">
        <v>1071</v>
      </c>
      <c r="E937" s="474">
        <v>42597</v>
      </c>
      <c r="F937" s="161" t="s">
        <v>527</v>
      </c>
      <c r="G937" s="475" t="s">
        <v>724</v>
      </c>
      <c r="H937" s="112" t="s">
        <v>1072</v>
      </c>
      <c r="I937" s="134">
        <v>130</v>
      </c>
      <c r="J937" s="134">
        <v>59764.988850064998</v>
      </c>
      <c r="K937" s="13">
        <f t="shared" si="47"/>
        <v>7769449</v>
      </c>
      <c r="L937" s="113" t="s">
        <v>161</v>
      </c>
      <c r="M937" s="113" t="s">
        <v>159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64"/>
    </row>
    <row r="938" spans="1:26" ht="15.75" hidden="1" customHeight="1">
      <c r="A938" s="120" t="str">
        <f>IF(B938&lt;&gt;"",IF(AND(B938&gt;=_TM1,B938&lt;=_TM2,OR(TH!L938="1111",TH!M938="1111")),TH!D938,""),"")</f>
        <v/>
      </c>
      <c r="B938" s="12">
        <f t="shared" si="48"/>
        <v>8</v>
      </c>
      <c r="C938" s="105">
        <f t="shared" si="46"/>
        <v>42599</v>
      </c>
      <c r="D938" s="110" t="s">
        <v>1071</v>
      </c>
      <c r="E938" s="474">
        <v>42599</v>
      </c>
      <c r="F938" s="161" t="s">
        <v>528</v>
      </c>
      <c r="G938" s="475" t="s">
        <v>725</v>
      </c>
      <c r="H938" s="112" t="s">
        <v>1072</v>
      </c>
      <c r="I938" s="134">
        <v>309</v>
      </c>
      <c r="J938" s="134">
        <v>6100.1505860755997</v>
      </c>
      <c r="K938" s="13">
        <f t="shared" si="47"/>
        <v>1884947</v>
      </c>
      <c r="L938" s="113" t="s">
        <v>161</v>
      </c>
      <c r="M938" s="113" t="s">
        <v>159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64"/>
    </row>
    <row r="939" spans="1:26" ht="15.75" hidden="1" customHeight="1">
      <c r="A939" s="120" t="str">
        <f>IF(B939&lt;&gt;"",IF(AND(B939&gt;=_TM1,B939&lt;=_TM2,OR(TH!L939="1111",TH!M939="1111")),TH!D939,""),"")</f>
        <v/>
      </c>
      <c r="B939" s="12">
        <f t="shared" si="48"/>
        <v>8</v>
      </c>
      <c r="C939" s="105">
        <f t="shared" si="46"/>
        <v>42599</v>
      </c>
      <c r="D939" s="110" t="s">
        <v>1071</v>
      </c>
      <c r="E939" s="474">
        <v>42599</v>
      </c>
      <c r="F939" s="161" t="s">
        <v>529</v>
      </c>
      <c r="G939" s="475" t="s">
        <v>726</v>
      </c>
      <c r="H939" s="112" t="s">
        <v>1072</v>
      </c>
      <c r="I939" s="133">
        <v>19</v>
      </c>
      <c r="J939" s="133">
        <v>11293.5220309778</v>
      </c>
      <c r="K939" s="13">
        <f t="shared" si="47"/>
        <v>214577</v>
      </c>
      <c r="L939" s="113" t="s">
        <v>161</v>
      </c>
      <c r="M939" s="113" t="s">
        <v>159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64"/>
    </row>
    <row r="940" spans="1:26" ht="15.75" hidden="1" customHeight="1">
      <c r="A940" s="120" t="str">
        <f>IF(B940&lt;&gt;"",IF(AND(B940&gt;=_TM1,B940&lt;=_TM2,OR(TH!L940="1111",TH!M940="1111")),TH!D940,""),"")</f>
        <v/>
      </c>
      <c r="B940" s="12">
        <f t="shared" si="48"/>
        <v>8</v>
      </c>
      <c r="C940" s="105">
        <f t="shared" si="46"/>
        <v>42602</v>
      </c>
      <c r="D940" s="110" t="s">
        <v>1071</v>
      </c>
      <c r="E940" s="474">
        <v>42602</v>
      </c>
      <c r="F940" s="161" t="s">
        <v>508</v>
      </c>
      <c r="G940" s="475" t="s">
        <v>728</v>
      </c>
      <c r="H940" s="112" t="s">
        <v>1072</v>
      </c>
      <c r="I940" s="133">
        <v>940</v>
      </c>
      <c r="J940" s="133">
        <v>5687.9782491785991</v>
      </c>
      <c r="K940" s="13">
        <f t="shared" si="47"/>
        <v>5346700</v>
      </c>
      <c r="L940" s="113" t="s">
        <v>161</v>
      </c>
      <c r="M940" s="113" t="s">
        <v>159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64"/>
    </row>
    <row r="941" spans="1:26" ht="15.75" hidden="1" customHeight="1">
      <c r="A941" s="120" t="str">
        <f>IF(B941&lt;&gt;"",IF(AND(B941&gt;=_TM1,B941&lt;=_TM2,OR(TH!L941="1111",TH!M941="1111")),TH!D941,""),"")</f>
        <v/>
      </c>
      <c r="B941" s="12">
        <f t="shared" si="48"/>
        <v>8</v>
      </c>
      <c r="C941" s="105">
        <f t="shared" si="46"/>
        <v>42605</v>
      </c>
      <c r="D941" s="110" t="s">
        <v>1071</v>
      </c>
      <c r="E941" s="474">
        <v>42605</v>
      </c>
      <c r="F941" s="161" t="s">
        <v>683</v>
      </c>
      <c r="G941" s="475" t="s">
        <v>729</v>
      </c>
      <c r="H941" s="112" t="s">
        <v>1072</v>
      </c>
      <c r="I941" s="134">
        <v>58</v>
      </c>
      <c r="J941" s="134">
        <v>16239.590073741798</v>
      </c>
      <c r="K941" s="13">
        <f t="shared" si="47"/>
        <v>941896</v>
      </c>
      <c r="L941" s="113" t="s">
        <v>161</v>
      </c>
      <c r="M941" s="113" t="s">
        <v>159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64"/>
    </row>
    <row r="942" spans="1:26" ht="15.75" hidden="1" customHeight="1">
      <c r="A942" s="120" t="str">
        <f>IF(B942&lt;&gt;"",IF(AND(B942&gt;=_TM1,B942&lt;=_TM2,OR(TH!L942="1111",TH!M942="1111")),TH!D942,""),"")</f>
        <v/>
      </c>
      <c r="B942" s="12">
        <f t="shared" si="48"/>
        <v>8</v>
      </c>
      <c r="C942" s="105">
        <f t="shared" si="46"/>
        <v>42605</v>
      </c>
      <c r="D942" s="110" t="s">
        <v>1071</v>
      </c>
      <c r="E942" s="474">
        <v>42605</v>
      </c>
      <c r="F942" s="161" t="s">
        <v>496</v>
      </c>
      <c r="G942" s="475" t="s">
        <v>729</v>
      </c>
      <c r="H942" s="112" t="s">
        <v>1072</v>
      </c>
      <c r="I942" s="133">
        <v>56</v>
      </c>
      <c r="J942" s="133">
        <v>824.34467379399996</v>
      </c>
      <c r="K942" s="13">
        <f t="shared" si="47"/>
        <v>46163</v>
      </c>
      <c r="L942" s="113" t="s">
        <v>161</v>
      </c>
      <c r="M942" s="113" t="s">
        <v>159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64"/>
    </row>
    <row r="943" spans="1:26" ht="15.75" hidden="1" customHeight="1">
      <c r="A943" s="120" t="str">
        <f>IF(B943&lt;&gt;"",IF(AND(B943&gt;=_TM1,B943&lt;=_TM2,OR(TH!L943="1111",TH!M943="1111")),TH!D943,""),"")</f>
        <v/>
      </c>
      <c r="B943" s="12">
        <f t="shared" si="48"/>
        <v>8</v>
      </c>
      <c r="C943" s="105">
        <f t="shared" si="46"/>
        <v>42607</v>
      </c>
      <c r="D943" s="110" t="s">
        <v>1071</v>
      </c>
      <c r="E943" s="474">
        <v>42607</v>
      </c>
      <c r="F943" s="161" t="s">
        <v>651</v>
      </c>
      <c r="G943" s="475" t="s">
        <v>730</v>
      </c>
      <c r="H943" s="112" t="s">
        <v>1072</v>
      </c>
      <c r="I943" s="133">
        <v>1040</v>
      </c>
      <c r="J943" s="133">
        <v>11870.563302633598</v>
      </c>
      <c r="K943" s="13">
        <f t="shared" si="47"/>
        <v>12345386</v>
      </c>
      <c r="L943" s="113" t="s">
        <v>161</v>
      </c>
      <c r="M943" s="113" t="s">
        <v>159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64"/>
    </row>
    <row r="944" spans="1:26" ht="15.75" hidden="1" customHeight="1">
      <c r="A944" s="120" t="str">
        <f>IF(B944&lt;&gt;"",IF(AND(B944&gt;=_TM1,B944&lt;=_TM2,OR(TH!L944="1111",TH!M944="1111")),TH!D944,""),"")</f>
        <v/>
      </c>
      <c r="B944" s="12">
        <f t="shared" si="48"/>
        <v>8</v>
      </c>
      <c r="C944" s="105">
        <f t="shared" si="46"/>
        <v>42607</v>
      </c>
      <c r="D944" s="110" t="s">
        <v>1071</v>
      </c>
      <c r="E944" s="474">
        <v>42607</v>
      </c>
      <c r="F944" s="161" t="s">
        <v>651</v>
      </c>
      <c r="G944" s="475" t="s">
        <v>731</v>
      </c>
      <c r="H944" s="112" t="s">
        <v>1072</v>
      </c>
      <c r="I944" s="133">
        <v>110</v>
      </c>
      <c r="J944" s="133">
        <v>11870.563302633598</v>
      </c>
      <c r="K944" s="13">
        <f t="shared" si="47"/>
        <v>1305762</v>
      </c>
      <c r="L944" s="113" t="s">
        <v>161</v>
      </c>
      <c r="M944" s="113" t="s">
        <v>159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64"/>
    </row>
    <row r="945" spans="1:26" ht="15.75" hidden="1" customHeight="1">
      <c r="A945" s="120" t="str">
        <f>IF(B945&lt;&gt;"",IF(AND(B945&gt;=_TM1,B945&lt;=_TM2,OR(TH!L945="1111",TH!M945="1111")),TH!D945,""),"")</f>
        <v/>
      </c>
      <c r="B945" s="12">
        <f t="shared" si="48"/>
        <v>8</v>
      </c>
      <c r="C945" s="105">
        <f t="shared" si="46"/>
        <v>42608</v>
      </c>
      <c r="D945" s="110" t="s">
        <v>1071</v>
      </c>
      <c r="E945" s="474">
        <v>42608</v>
      </c>
      <c r="F945" s="161" t="s">
        <v>532</v>
      </c>
      <c r="G945" s="475" t="s">
        <v>732</v>
      </c>
      <c r="H945" s="112" t="s">
        <v>1072</v>
      </c>
      <c r="I945" s="133">
        <v>120</v>
      </c>
      <c r="J945" s="133">
        <v>12612.473509048199</v>
      </c>
      <c r="K945" s="13">
        <f t="shared" si="47"/>
        <v>1513497</v>
      </c>
      <c r="L945" s="113" t="s">
        <v>161</v>
      </c>
      <c r="M945" s="113" t="s">
        <v>159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64"/>
    </row>
    <row r="946" spans="1:26" ht="15.75" hidden="1" customHeight="1">
      <c r="A946" s="120" t="str">
        <f>IF(B946&lt;&gt;"",IF(AND(B946&gt;=_TM1,B946&lt;=_TM2,OR(TH!L946="1111",TH!M946="1111")),TH!D946,""),"")</f>
        <v/>
      </c>
      <c r="B946" s="12">
        <f t="shared" si="48"/>
        <v>8</v>
      </c>
      <c r="C946" s="105">
        <f t="shared" si="46"/>
        <v>42608</v>
      </c>
      <c r="D946" s="110" t="s">
        <v>1071</v>
      </c>
      <c r="E946" s="474">
        <v>42608</v>
      </c>
      <c r="F946" s="161" t="s">
        <v>533</v>
      </c>
      <c r="G946" s="475" t="s">
        <v>732</v>
      </c>
      <c r="H946" s="112" t="s">
        <v>1072</v>
      </c>
      <c r="I946" s="133">
        <v>240</v>
      </c>
      <c r="J946" s="133">
        <v>1566.2548802085998</v>
      </c>
      <c r="K946" s="13">
        <f t="shared" si="47"/>
        <v>375901</v>
      </c>
      <c r="L946" s="113" t="s">
        <v>161</v>
      </c>
      <c r="M946" s="113" t="s">
        <v>159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64"/>
    </row>
    <row r="947" spans="1:26" ht="15.75" hidden="1" customHeight="1">
      <c r="A947" s="120" t="str">
        <f>IF(B947&lt;&gt;"",IF(AND(B947&gt;=_TM1,B947&lt;=_TM2,OR(TH!L947="1111",TH!M947="1111")),TH!D947,""),"")</f>
        <v/>
      </c>
      <c r="B947" s="12">
        <f t="shared" si="48"/>
        <v>8</v>
      </c>
      <c r="C947" s="105">
        <f t="shared" si="46"/>
        <v>42608</v>
      </c>
      <c r="D947" s="110" t="s">
        <v>1071</v>
      </c>
      <c r="E947" s="474">
        <v>42608</v>
      </c>
      <c r="F947" s="161" t="s">
        <v>513</v>
      </c>
      <c r="G947" s="475" t="s">
        <v>733</v>
      </c>
      <c r="H947" s="112" t="s">
        <v>1072</v>
      </c>
      <c r="I947" s="133">
        <v>513</v>
      </c>
      <c r="J947" s="133">
        <v>7831.2744010429988</v>
      </c>
      <c r="K947" s="13">
        <f t="shared" si="47"/>
        <v>4017444</v>
      </c>
      <c r="L947" s="113" t="s">
        <v>161</v>
      </c>
      <c r="M947" s="113" t="s">
        <v>159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64"/>
    </row>
    <row r="948" spans="1:26" ht="15.75" hidden="1" customHeight="1">
      <c r="A948" s="120" t="str">
        <f>IF(B948&lt;&gt;"",IF(AND(B948&gt;=_TM1,B948&lt;=_TM2,OR(TH!L948="1111",TH!M948="1111")),TH!D948,""),"")</f>
        <v/>
      </c>
      <c r="B948" s="12">
        <f t="shared" si="48"/>
        <v>8</v>
      </c>
      <c r="C948" s="105">
        <f t="shared" si="46"/>
        <v>42608</v>
      </c>
      <c r="D948" s="110" t="s">
        <v>1071</v>
      </c>
      <c r="E948" s="474">
        <v>42608</v>
      </c>
      <c r="F948" s="161" t="s">
        <v>534</v>
      </c>
      <c r="G948" s="475" t="s">
        <v>734</v>
      </c>
      <c r="H948" s="112" t="s">
        <v>1072</v>
      </c>
      <c r="I948" s="133">
        <v>1000</v>
      </c>
      <c r="J948" s="133">
        <v>5935.2816513167991</v>
      </c>
      <c r="K948" s="13">
        <f t="shared" si="47"/>
        <v>5935282</v>
      </c>
      <c r="L948" s="113" t="s">
        <v>161</v>
      </c>
      <c r="M948" s="113" t="s">
        <v>159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64"/>
    </row>
    <row r="949" spans="1:26" ht="15.75" hidden="1" customHeight="1">
      <c r="A949" s="120" t="str">
        <f>IF(B949&lt;&gt;"",IF(AND(B949&gt;=_TM1,B949&lt;=_TM2,OR(TH!L949="1111",TH!M949="1111")),TH!D949,""),"")</f>
        <v/>
      </c>
      <c r="B949" s="12">
        <f t="shared" si="48"/>
        <v>8</v>
      </c>
      <c r="C949" s="105">
        <f t="shared" si="46"/>
        <v>42608</v>
      </c>
      <c r="D949" s="110" t="s">
        <v>1071</v>
      </c>
      <c r="E949" s="474">
        <v>42608</v>
      </c>
      <c r="F949" s="161" t="s">
        <v>535</v>
      </c>
      <c r="G949" s="475" t="s">
        <v>734</v>
      </c>
      <c r="H949" s="112" t="s">
        <v>1072</v>
      </c>
      <c r="I949" s="134">
        <v>970</v>
      </c>
      <c r="J949" s="134">
        <v>6182.5850534549991</v>
      </c>
      <c r="K949" s="13">
        <f t="shared" si="47"/>
        <v>5997108</v>
      </c>
      <c r="L949" s="113" t="s">
        <v>161</v>
      </c>
      <c r="M949" s="113" t="s">
        <v>159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64"/>
    </row>
    <row r="950" spans="1:26" ht="15.75" hidden="1" customHeight="1">
      <c r="A950" s="120" t="str">
        <f>IF(B950&lt;&gt;"",IF(AND(B950&gt;=_TM1,B950&lt;=_TM2,OR(TH!L950="1111",TH!M950="1111")),TH!D950,""),"")</f>
        <v/>
      </c>
      <c r="B950" s="12">
        <f t="shared" si="48"/>
        <v>8</v>
      </c>
      <c r="C950" s="105">
        <f t="shared" si="46"/>
        <v>42609</v>
      </c>
      <c r="D950" s="110" t="s">
        <v>1071</v>
      </c>
      <c r="E950" s="474">
        <v>42609</v>
      </c>
      <c r="F950" s="161" t="s">
        <v>536</v>
      </c>
      <c r="G950" s="475" t="s">
        <v>735</v>
      </c>
      <c r="H950" s="112" t="s">
        <v>1072</v>
      </c>
      <c r="I950" s="133">
        <v>203</v>
      </c>
      <c r="J950" s="133">
        <v>6429.8884555932</v>
      </c>
      <c r="K950" s="13">
        <f t="shared" si="47"/>
        <v>1305267</v>
      </c>
      <c r="L950" s="113" t="s">
        <v>161</v>
      </c>
      <c r="M950" s="113" t="s">
        <v>159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64"/>
    </row>
    <row r="951" spans="1:26" ht="15.75" hidden="1" customHeight="1">
      <c r="A951" s="120" t="str">
        <f>IF(B951&lt;&gt;"",IF(AND(B951&gt;=_TM1,B951&lt;=_TM2,OR(TH!L951="1111",TH!M951="1111")),TH!D951,""),"")</f>
        <v/>
      </c>
      <c r="B951" s="12">
        <f t="shared" si="48"/>
        <v>8</v>
      </c>
      <c r="C951" s="105">
        <f t="shared" si="46"/>
        <v>42611</v>
      </c>
      <c r="D951" s="110" t="s">
        <v>1071</v>
      </c>
      <c r="E951" s="474">
        <v>42611</v>
      </c>
      <c r="F951" s="161" t="s">
        <v>527</v>
      </c>
      <c r="G951" s="475" t="s">
        <v>736</v>
      </c>
      <c r="H951" s="112" t="s">
        <v>1072</v>
      </c>
      <c r="I951" s="133">
        <v>160</v>
      </c>
      <c r="J951" s="133">
        <v>59764.988850064998</v>
      </c>
      <c r="K951" s="13">
        <f t="shared" si="47"/>
        <v>9562398</v>
      </c>
      <c r="L951" s="113" t="s">
        <v>161</v>
      </c>
      <c r="M951" s="113" t="s">
        <v>159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64"/>
    </row>
    <row r="952" spans="1:26" ht="15.75" hidden="1" customHeight="1">
      <c r="A952" s="120" t="str">
        <f>IF(B952&lt;&gt;"",IF(AND(B952&gt;=_TM1,B952&lt;=_TM2,OR(TH!L952="1111",TH!M952="1111")),TH!D952,""),"")</f>
        <v/>
      </c>
      <c r="B952" s="12">
        <f t="shared" si="48"/>
        <v>8</v>
      </c>
      <c r="C952" s="105">
        <f t="shared" si="46"/>
        <v>42612</v>
      </c>
      <c r="D952" s="110" t="s">
        <v>1071</v>
      </c>
      <c r="E952" s="474">
        <v>42612</v>
      </c>
      <c r="F952" s="161" t="s">
        <v>368</v>
      </c>
      <c r="G952" s="475" t="s">
        <v>737</v>
      </c>
      <c r="H952" s="112" t="s">
        <v>1072</v>
      </c>
      <c r="I952" s="133">
        <v>500</v>
      </c>
      <c r="J952" s="133">
        <v>19042.361964641397</v>
      </c>
      <c r="K952" s="13">
        <f t="shared" si="47"/>
        <v>9521181</v>
      </c>
      <c r="L952" s="113" t="s">
        <v>161</v>
      </c>
      <c r="M952" s="113" t="s">
        <v>159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64"/>
    </row>
    <row r="953" spans="1:26" ht="15.75" hidden="1" customHeight="1">
      <c r="A953" s="120" t="str">
        <f>IF(B953&lt;&gt;"",IF(AND(B953&gt;=_TM1,B953&lt;=_TM2,OR(TH!L953="1111",TH!M953="1111")),TH!D953,""),"")</f>
        <v/>
      </c>
      <c r="B953" s="12">
        <f t="shared" si="48"/>
        <v>8</v>
      </c>
      <c r="C953" s="105">
        <f t="shared" si="46"/>
        <v>42613</v>
      </c>
      <c r="D953" s="110" t="s">
        <v>1071</v>
      </c>
      <c r="E953" s="474">
        <v>42613</v>
      </c>
      <c r="F953" s="161" t="s">
        <v>500</v>
      </c>
      <c r="G953" s="475" t="s">
        <v>738</v>
      </c>
      <c r="H953" s="112" t="s">
        <v>1072</v>
      </c>
      <c r="I953" s="133">
        <v>1500</v>
      </c>
      <c r="J953" s="133">
        <v>9397.5292812515981</v>
      </c>
      <c r="K953" s="13">
        <f t="shared" si="47"/>
        <v>14096294</v>
      </c>
      <c r="L953" s="113" t="s">
        <v>161</v>
      </c>
      <c r="M953" s="113" t="s">
        <v>159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64"/>
    </row>
    <row r="954" spans="1:26" ht="15.75" hidden="1" customHeight="1">
      <c r="A954" s="120" t="str">
        <f>IF(B954&lt;&gt;"",IF(AND(B954&gt;=_TM1,B954&lt;=_TM2,OR(TH!L954="1111",TH!M954="1111")),TH!D954,""),"")</f>
        <v/>
      </c>
      <c r="B954" s="12">
        <f t="shared" si="48"/>
        <v>8</v>
      </c>
      <c r="C954" s="105">
        <f t="shared" si="46"/>
        <v>42613</v>
      </c>
      <c r="D954" s="110" t="s">
        <v>1071</v>
      </c>
      <c r="E954" s="474">
        <v>42613</v>
      </c>
      <c r="F954" s="161" t="s">
        <v>500</v>
      </c>
      <c r="G954" s="475" t="s">
        <v>738</v>
      </c>
      <c r="H954" s="112" t="s">
        <v>1072</v>
      </c>
      <c r="I954" s="133">
        <v>400</v>
      </c>
      <c r="J954" s="133">
        <v>9397.5292812515981</v>
      </c>
      <c r="K954" s="13">
        <f t="shared" si="47"/>
        <v>3759012</v>
      </c>
      <c r="L954" s="113" t="s">
        <v>161</v>
      </c>
      <c r="M954" s="113" t="s">
        <v>159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64"/>
    </row>
    <row r="955" spans="1:26" ht="15.75" hidden="1" customHeight="1">
      <c r="A955" s="120" t="str">
        <f>IF(B955&lt;&gt;"",IF(AND(B955&gt;=_TM1,B955&lt;=_TM2,OR(TH!L955="1111",TH!M955="1111")),TH!D955,""),"")</f>
        <v/>
      </c>
      <c r="B955" s="12">
        <f t="shared" si="48"/>
        <v>8</v>
      </c>
      <c r="C955" s="105">
        <f t="shared" si="46"/>
        <v>42613</v>
      </c>
      <c r="D955" s="110" t="s">
        <v>1071</v>
      </c>
      <c r="E955" s="474">
        <v>42613</v>
      </c>
      <c r="F955" s="161" t="s">
        <v>375</v>
      </c>
      <c r="G955" s="475" t="s">
        <v>738</v>
      </c>
      <c r="H955" s="112" t="s">
        <v>1072</v>
      </c>
      <c r="I955" s="133">
        <v>3800</v>
      </c>
      <c r="J955" s="133">
        <v>741.91020641459988</v>
      </c>
      <c r="K955" s="13">
        <f t="shared" si="47"/>
        <v>2819259</v>
      </c>
      <c r="L955" s="113" t="s">
        <v>161</v>
      </c>
      <c r="M955" s="113" t="s">
        <v>159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64"/>
    </row>
    <row r="956" spans="1:26" ht="15.75" hidden="1" customHeight="1">
      <c r="A956" s="120" t="str">
        <f>IF(B956&lt;&gt;"",IF(AND(B956&gt;=_TM1,B956&lt;=_TM2,OR(TH!L956="1111",TH!M956="1111")),TH!D956,""),"")</f>
        <v/>
      </c>
      <c r="B956" s="12">
        <f t="shared" si="48"/>
        <v>8</v>
      </c>
      <c r="C956" s="105">
        <f t="shared" si="46"/>
        <v>42613</v>
      </c>
      <c r="D956" s="110" t="s">
        <v>1071</v>
      </c>
      <c r="E956" s="474">
        <v>42613</v>
      </c>
      <c r="F956" s="161" t="s">
        <v>518</v>
      </c>
      <c r="G956" s="475" t="s">
        <v>739</v>
      </c>
      <c r="H956" s="112" t="s">
        <v>1072</v>
      </c>
      <c r="I956" s="133">
        <v>819</v>
      </c>
      <c r="J956" s="133">
        <v>6759.6263251107994</v>
      </c>
      <c r="K956" s="13">
        <f t="shared" si="47"/>
        <v>5536134</v>
      </c>
      <c r="L956" s="113" t="s">
        <v>161</v>
      </c>
      <c r="M956" s="113" t="s">
        <v>159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64"/>
    </row>
    <row r="957" spans="1:26" ht="15.75" hidden="1" customHeight="1">
      <c r="A957" s="120" t="str">
        <f>IF(B957&lt;&gt;"",IF(AND(B957&gt;=_TM1,B957&lt;=_TM2,OR(TH!L957="1111",TH!M957="1111")),TH!D957,""),"")</f>
        <v/>
      </c>
      <c r="B957" s="12">
        <f t="shared" si="48"/>
        <v>8</v>
      </c>
      <c r="C957" s="105">
        <f t="shared" si="46"/>
        <v>42613</v>
      </c>
      <c r="D957" s="110" t="s">
        <v>1071</v>
      </c>
      <c r="E957" s="474">
        <v>42613</v>
      </c>
      <c r="F957" s="161" t="s">
        <v>544</v>
      </c>
      <c r="G957" s="475" t="s">
        <v>739</v>
      </c>
      <c r="H957" s="112" t="s">
        <v>1072</v>
      </c>
      <c r="I957" s="133">
        <v>610</v>
      </c>
      <c r="J957" s="133">
        <v>7501.5365315253994</v>
      </c>
      <c r="K957" s="13">
        <f t="shared" si="47"/>
        <v>4575937</v>
      </c>
      <c r="L957" s="113" t="s">
        <v>161</v>
      </c>
      <c r="M957" s="113" t="s">
        <v>159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64"/>
    </row>
    <row r="958" spans="1:26" ht="15.75" hidden="1" customHeight="1">
      <c r="A958" s="120" t="str">
        <f>IF(B958&lt;&gt;"",IF(AND(B958&gt;=_TM1,B958&lt;=_TM2,OR(TH!L958="1111",TH!M958="1111")),TH!D958,""),"")</f>
        <v/>
      </c>
      <c r="B958" s="12">
        <f t="shared" si="48"/>
        <v>8</v>
      </c>
      <c r="C958" s="105">
        <f t="shared" si="46"/>
        <v>42613</v>
      </c>
      <c r="D958" s="110" t="s">
        <v>1071</v>
      </c>
      <c r="E958" s="474">
        <v>42613</v>
      </c>
      <c r="F958" s="161" t="s">
        <v>520</v>
      </c>
      <c r="G958" s="475" t="s">
        <v>739</v>
      </c>
      <c r="H958" s="112" t="s">
        <v>1072</v>
      </c>
      <c r="I958" s="134">
        <v>599</v>
      </c>
      <c r="J958" s="134">
        <v>13024.645845945199</v>
      </c>
      <c r="K958" s="13">
        <f t="shared" si="47"/>
        <v>7801763</v>
      </c>
      <c r="L958" s="113" t="s">
        <v>161</v>
      </c>
      <c r="M958" s="113" t="s">
        <v>159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64"/>
    </row>
    <row r="959" spans="1:26" ht="15.75" hidden="1" customHeight="1">
      <c r="A959" s="120" t="str">
        <f>IF(B959&lt;&gt;"",IF(AND(B959&gt;=_TM1,B959&lt;=_TM2,OR(TH!L959="1111",TH!M959="1111")),TH!D959,""),"")</f>
        <v/>
      </c>
      <c r="B959" s="12">
        <f t="shared" si="48"/>
        <v>8</v>
      </c>
      <c r="C959" s="105">
        <f t="shared" si="46"/>
        <v>42613</v>
      </c>
      <c r="D959" s="110" t="s">
        <v>1071</v>
      </c>
      <c r="E959" s="474">
        <v>42613</v>
      </c>
      <c r="F959" s="161" t="s">
        <v>623</v>
      </c>
      <c r="G959" s="475" t="s">
        <v>739</v>
      </c>
      <c r="H959" s="112" t="s">
        <v>1072</v>
      </c>
      <c r="I959" s="134">
        <v>305</v>
      </c>
      <c r="J959" s="134">
        <v>15827.417736844798</v>
      </c>
      <c r="K959" s="13">
        <f t="shared" si="47"/>
        <v>4827362</v>
      </c>
      <c r="L959" s="113" t="s">
        <v>161</v>
      </c>
      <c r="M959" s="113" t="s">
        <v>159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64"/>
    </row>
    <row r="960" spans="1:26" ht="15.75" hidden="1" customHeight="1">
      <c r="A960" s="120" t="str">
        <f>IF(B960&lt;&gt;"",IF(AND(B960&gt;=_TM1,B960&lt;=_TM2,OR(TH!L960="1111",TH!M960="1111")),TH!D960,""),"")</f>
        <v/>
      </c>
      <c r="B960" s="12">
        <f t="shared" si="48"/>
        <v>9</v>
      </c>
      <c r="C960" s="105">
        <f t="shared" si="46"/>
        <v>42614</v>
      </c>
      <c r="D960" s="110" t="s">
        <v>1071</v>
      </c>
      <c r="E960" s="474">
        <v>42614</v>
      </c>
      <c r="F960" s="161" t="s">
        <v>538</v>
      </c>
      <c r="G960" s="475" t="s">
        <v>740</v>
      </c>
      <c r="H960" s="112" t="s">
        <v>1072</v>
      </c>
      <c r="I960" s="133">
        <v>504</v>
      </c>
      <c r="J960" s="133">
        <v>7996.1433358017994</v>
      </c>
      <c r="K960" s="13">
        <f t="shared" si="47"/>
        <v>4030056</v>
      </c>
      <c r="L960" s="113" t="s">
        <v>161</v>
      </c>
      <c r="M960" s="113" t="s">
        <v>159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64"/>
    </row>
    <row r="961" spans="1:26" ht="15.75" hidden="1" customHeight="1">
      <c r="A961" s="120" t="str">
        <f>IF(B961&lt;&gt;"",IF(AND(B961&gt;=_TM1,B961&lt;=_TM2,OR(TH!L961="1111",TH!M961="1111")),TH!D961,""),"")</f>
        <v/>
      </c>
      <c r="B961" s="12">
        <f t="shared" si="48"/>
        <v>9</v>
      </c>
      <c r="C961" s="105">
        <f t="shared" si="46"/>
        <v>42614</v>
      </c>
      <c r="D961" s="110" t="s">
        <v>1071</v>
      </c>
      <c r="E961" s="474">
        <v>42614</v>
      </c>
      <c r="F961" s="161" t="s">
        <v>539</v>
      </c>
      <c r="G961" s="475" t="s">
        <v>741</v>
      </c>
      <c r="H961" s="112" t="s">
        <v>1072</v>
      </c>
      <c r="I961" s="133">
        <v>2660</v>
      </c>
      <c r="J961" s="133">
        <v>5358.2403796609997</v>
      </c>
      <c r="K961" s="13">
        <f t="shared" si="47"/>
        <v>14252919</v>
      </c>
      <c r="L961" s="113" t="s">
        <v>161</v>
      </c>
      <c r="M961" s="113" t="s">
        <v>159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64"/>
    </row>
    <row r="962" spans="1:26" ht="15.75" hidden="1" customHeight="1">
      <c r="A962" s="120" t="str">
        <f>IF(B962&lt;&gt;"",IF(AND(B962&gt;=_TM1,B962&lt;=_TM2,OR(TH!L962="1111",TH!M962="1111")),TH!D962,""),"")</f>
        <v/>
      </c>
      <c r="B962" s="12">
        <f t="shared" si="48"/>
        <v>9</v>
      </c>
      <c r="C962" s="105">
        <f t="shared" si="46"/>
        <v>42618</v>
      </c>
      <c r="D962" s="110" t="s">
        <v>1071</v>
      </c>
      <c r="E962" s="474">
        <v>42618</v>
      </c>
      <c r="F962" s="161" t="s">
        <v>649</v>
      </c>
      <c r="G962" s="475" t="s">
        <v>742</v>
      </c>
      <c r="H962" s="112" t="s">
        <v>1072</v>
      </c>
      <c r="I962" s="133">
        <v>412</v>
      </c>
      <c r="J962" s="133">
        <v>8573.1846074575988</v>
      </c>
      <c r="K962" s="13">
        <f t="shared" si="47"/>
        <v>3532152</v>
      </c>
      <c r="L962" s="113" t="s">
        <v>161</v>
      </c>
      <c r="M962" s="113" t="s">
        <v>159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64"/>
    </row>
    <row r="963" spans="1:26" ht="15.75" hidden="1" customHeight="1">
      <c r="A963" s="120" t="str">
        <f>IF(B963&lt;&gt;"",IF(AND(B963&gt;=_TM1,B963&lt;=_TM2,OR(TH!L963="1111",TH!M963="1111")),TH!D963,""),"")</f>
        <v/>
      </c>
      <c r="B963" s="12">
        <f t="shared" si="48"/>
        <v>9</v>
      </c>
      <c r="C963" s="105">
        <f t="shared" si="46"/>
        <v>42618</v>
      </c>
      <c r="D963" s="110" t="s">
        <v>1071</v>
      </c>
      <c r="E963" s="474">
        <v>42618</v>
      </c>
      <c r="F963" s="161" t="s">
        <v>498</v>
      </c>
      <c r="G963" s="475" t="s">
        <v>742</v>
      </c>
      <c r="H963" s="112" t="s">
        <v>1072</v>
      </c>
      <c r="I963" s="133">
        <v>382</v>
      </c>
      <c r="J963" s="133">
        <v>10551.611824563199</v>
      </c>
      <c r="K963" s="13">
        <f t="shared" si="47"/>
        <v>4030716</v>
      </c>
      <c r="L963" s="113" t="s">
        <v>161</v>
      </c>
      <c r="M963" s="113" t="s">
        <v>159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64"/>
    </row>
    <row r="964" spans="1:26" ht="15.75" hidden="1" customHeight="1">
      <c r="A964" s="120" t="str">
        <f>IF(B964&lt;&gt;"",IF(AND(B964&gt;=_TM1,B964&lt;=_TM2,OR(TH!L964="1111",TH!M964="1111")),TH!D964,""),"")</f>
        <v/>
      </c>
      <c r="B964" s="12">
        <f t="shared" si="48"/>
        <v>9</v>
      </c>
      <c r="C964" s="105">
        <f t="shared" si="46"/>
        <v>42618</v>
      </c>
      <c r="D964" s="110" t="s">
        <v>1071</v>
      </c>
      <c r="E964" s="474">
        <v>42618</v>
      </c>
      <c r="F964" s="161" t="s">
        <v>498</v>
      </c>
      <c r="G964" s="475" t="s">
        <v>742</v>
      </c>
      <c r="H964" s="112" t="s">
        <v>1072</v>
      </c>
      <c r="I964" s="133">
        <v>110</v>
      </c>
      <c r="J964" s="133">
        <v>10551.611824563199</v>
      </c>
      <c r="K964" s="13">
        <f t="shared" si="47"/>
        <v>1160677</v>
      </c>
      <c r="L964" s="113" t="s">
        <v>161</v>
      </c>
      <c r="M964" s="113" t="s">
        <v>159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64"/>
    </row>
    <row r="965" spans="1:26" ht="15.75" hidden="1" customHeight="1">
      <c r="A965" s="120" t="str">
        <f>IF(B965&lt;&gt;"",IF(AND(B965&gt;=_TM1,B965&lt;=_TM2,OR(TH!L965="1111",TH!M965="1111")),TH!D965,""),"")</f>
        <v/>
      </c>
      <c r="B965" s="12">
        <f t="shared" si="48"/>
        <v>9</v>
      </c>
      <c r="C965" s="105">
        <f t="shared" si="46"/>
        <v>42618</v>
      </c>
      <c r="D965" s="110" t="s">
        <v>1071</v>
      </c>
      <c r="E965" s="474">
        <v>42618</v>
      </c>
      <c r="F965" s="161" t="s">
        <v>650</v>
      </c>
      <c r="G965" s="475" t="s">
        <v>742</v>
      </c>
      <c r="H965" s="112" t="s">
        <v>1072</v>
      </c>
      <c r="I965" s="133">
        <v>110</v>
      </c>
      <c r="J965" s="133">
        <v>7006.9297272489994</v>
      </c>
      <c r="K965" s="13">
        <f t="shared" si="47"/>
        <v>770762</v>
      </c>
      <c r="L965" s="113" t="s">
        <v>161</v>
      </c>
      <c r="M965" s="113" t="s">
        <v>159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64"/>
    </row>
    <row r="966" spans="1:26" ht="15.75" hidden="1" customHeight="1">
      <c r="A966" s="120" t="str">
        <f>IF(B966&lt;&gt;"",IF(AND(B966&gt;=_TM1,B966&lt;=_TM2,OR(TH!L966="1111",TH!M966="1111")),TH!D966,""),"")</f>
        <v/>
      </c>
      <c r="B966" s="12">
        <f t="shared" si="48"/>
        <v>9</v>
      </c>
      <c r="C966" s="105">
        <f t="shared" si="46"/>
        <v>42618</v>
      </c>
      <c r="D966" s="110" t="s">
        <v>1071</v>
      </c>
      <c r="E966" s="474">
        <v>42618</v>
      </c>
      <c r="F966" s="161" t="s">
        <v>651</v>
      </c>
      <c r="G966" s="475" t="s">
        <v>743</v>
      </c>
      <c r="H966" s="112" t="s">
        <v>1072</v>
      </c>
      <c r="I966" s="133">
        <v>65</v>
      </c>
      <c r="J966" s="133">
        <v>11870.563302633598</v>
      </c>
      <c r="K966" s="13">
        <f t="shared" si="47"/>
        <v>771587</v>
      </c>
      <c r="L966" s="113" t="s">
        <v>161</v>
      </c>
      <c r="M966" s="113" t="s">
        <v>159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64"/>
    </row>
    <row r="967" spans="1:26" ht="15.75" hidden="1" customHeight="1">
      <c r="A967" s="120" t="str">
        <f>IF(B967&lt;&gt;"",IF(AND(B967&gt;=_TM1,B967&lt;=_TM2,OR(TH!L967="1111",TH!M967="1111")),TH!D967,""),"")</f>
        <v/>
      </c>
      <c r="B967" s="12">
        <f t="shared" si="48"/>
        <v>9</v>
      </c>
      <c r="C967" s="105">
        <f t="shared" si="46"/>
        <v>42618</v>
      </c>
      <c r="D967" s="110" t="s">
        <v>1071</v>
      </c>
      <c r="E967" s="474">
        <v>42618</v>
      </c>
      <c r="F967" s="161" t="s">
        <v>652</v>
      </c>
      <c r="G967" s="475" t="s">
        <v>743</v>
      </c>
      <c r="H967" s="112" t="s">
        <v>1072</v>
      </c>
      <c r="I967" s="133">
        <v>917</v>
      </c>
      <c r="J967" s="133">
        <v>8820.4880095957997</v>
      </c>
      <c r="K967" s="13">
        <f t="shared" si="47"/>
        <v>8088388</v>
      </c>
      <c r="L967" s="113" t="s">
        <v>161</v>
      </c>
      <c r="M967" s="113" t="s">
        <v>159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64"/>
    </row>
    <row r="968" spans="1:26" ht="15.75" hidden="1" customHeight="1">
      <c r="A968" s="120" t="str">
        <f>IF(B968&lt;&gt;"",IF(AND(B968&gt;=_TM1,B968&lt;=_TM2,OR(TH!L968="1111",TH!M968="1111")),TH!D968,""),"")</f>
        <v/>
      </c>
      <c r="B968" s="12">
        <f t="shared" si="48"/>
        <v>9</v>
      </c>
      <c r="C968" s="105">
        <f t="shared" si="46"/>
        <v>42618</v>
      </c>
      <c r="D968" s="110" t="s">
        <v>1071</v>
      </c>
      <c r="E968" s="474">
        <v>42618</v>
      </c>
      <c r="F968" s="161" t="s">
        <v>498</v>
      </c>
      <c r="G968" s="475" t="s">
        <v>743</v>
      </c>
      <c r="H968" s="112" t="s">
        <v>1072</v>
      </c>
      <c r="I968" s="133">
        <v>72</v>
      </c>
      <c r="J968" s="133">
        <v>10551.611824563199</v>
      </c>
      <c r="K968" s="13">
        <f t="shared" si="47"/>
        <v>759716</v>
      </c>
      <c r="L968" s="113" t="s">
        <v>161</v>
      </c>
      <c r="M968" s="113" t="s">
        <v>159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64"/>
    </row>
    <row r="969" spans="1:26" ht="15.75" hidden="1" customHeight="1">
      <c r="A969" s="120" t="str">
        <f>IF(B969&lt;&gt;"",IF(AND(B969&gt;=_TM1,B969&lt;=_TM2,OR(TH!L969="1111",TH!M969="1111")),TH!D969,""),"")</f>
        <v/>
      </c>
      <c r="B969" s="12">
        <f t="shared" si="48"/>
        <v>9</v>
      </c>
      <c r="C969" s="105">
        <f t="shared" si="46"/>
        <v>42619</v>
      </c>
      <c r="D969" s="110" t="s">
        <v>1071</v>
      </c>
      <c r="E969" s="474">
        <v>42619</v>
      </c>
      <c r="F969" s="161" t="s">
        <v>508</v>
      </c>
      <c r="G969" s="475" t="s">
        <v>744</v>
      </c>
      <c r="H969" s="112" t="s">
        <v>1072</v>
      </c>
      <c r="I969" s="133">
        <v>1036</v>
      </c>
      <c r="J969" s="133">
        <v>5687.9782491785991</v>
      </c>
      <c r="K969" s="13">
        <f t="shared" si="47"/>
        <v>5892745</v>
      </c>
      <c r="L969" s="113" t="s">
        <v>161</v>
      </c>
      <c r="M969" s="113" t="s">
        <v>159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64"/>
    </row>
    <row r="970" spans="1:26" ht="15.75" hidden="1" customHeight="1">
      <c r="A970" s="120" t="str">
        <f>IF(B970&lt;&gt;"",IF(AND(B970&gt;=_TM1,B970&lt;=_TM2,OR(TH!L970="1111",TH!M970="1111")),TH!D970,""),"")</f>
        <v/>
      </c>
      <c r="B970" s="12">
        <f t="shared" si="48"/>
        <v>9</v>
      </c>
      <c r="C970" s="105">
        <f t="shared" si="46"/>
        <v>42619</v>
      </c>
      <c r="D970" s="110" t="s">
        <v>1071</v>
      </c>
      <c r="E970" s="474">
        <v>42619</v>
      </c>
      <c r="F970" s="161" t="s">
        <v>662</v>
      </c>
      <c r="G970" s="475" t="s">
        <v>746</v>
      </c>
      <c r="H970" s="112" t="s">
        <v>1072</v>
      </c>
      <c r="I970" s="133">
        <v>212</v>
      </c>
      <c r="J970" s="133">
        <v>7748.8399336635994</v>
      </c>
      <c r="K970" s="13">
        <f t="shared" si="47"/>
        <v>1642754</v>
      </c>
      <c r="L970" s="113" t="s">
        <v>161</v>
      </c>
      <c r="M970" s="113" t="s">
        <v>159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64"/>
    </row>
    <row r="971" spans="1:26" ht="15.75" hidden="1" customHeight="1">
      <c r="A971" s="120" t="str">
        <f>IF(B971&lt;&gt;"",IF(AND(B971&gt;=_TM1,B971&lt;=_TM2,OR(TH!L971="1111",TH!M971="1111")),TH!D971,""),"")</f>
        <v/>
      </c>
      <c r="B971" s="12">
        <f t="shared" si="48"/>
        <v>9</v>
      </c>
      <c r="C971" s="105">
        <f t="shared" si="46"/>
        <v>42620</v>
      </c>
      <c r="D971" s="110" t="s">
        <v>1071</v>
      </c>
      <c r="E971" s="474">
        <v>42620</v>
      </c>
      <c r="F971" s="161" t="s">
        <v>527</v>
      </c>
      <c r="G971" s="475" t="s">
        <v>748</v>
      </c>
      <c r="H971" s="112" t="s">
        <v>1072</v>
      </c>
      <c r="I971" s="133">
        <v>60</v>
      </c>
      <c r="J971" s="133">
        <v>59764.988850064998</v>
      </c>
      <c r="K971" s="13">
        <f t="shared" si="47"/>
        <v>3585899</v>
      </c>
      <c r="L971" s="113" t="s">
        <v>161</v>
      </c>
      <c r="M971" s="113" t="s">
        <v>159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64"/>
    </row>
    <row r="972" spans="1:26" ht="15.75" hidden="1" customHeight="1">
      <c r="A972" s="120" t="str">
        <f>IF(B972&lt;&gt;"",IF(AND(B972&gt;=_TM1,B972&lt;=_TM2,OR(TH!L972="1111",TH!M972="1111")),TH!D972,""),"")</f>
        <v/>
      </c>
      <c r="B972" s="12">
        <f t="shared" si="48"/>
        <v>9</v>
      </c>
      <c r="C972" s="105">
        <f t="shared" si="46"/>
        <v>42620</v>
      </c>
      <c r="D972" s="110" t="s">
        <v>1071</v>
      </c>
      <c r="E972" s="474">
        <v>42620</v>
      </c>
      <c r="F972" s="161" t="s">
        <v>664</v>
      </c>
      <c r="G972" s="475" t="s">
        <v>748</v>
      </c>
      <c r="H972" s="112" t="s">
        <v>1072</v>
      </c>
      <c r="I972" s="133">
        <v>20</v>
      </c>
      <c r="J972" s="133">
        <v>69739.559402972402</v>
      </c>
      <c r="K972" s="13">
        <f t="shared" si="47"/>
        <v>1394791</v>
      </c>
      <c r="L972" s="113" t="s">
        <v>161</v>
      </c>
      <c r="M972" s="113" t="s">
        <v>159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64"/>
    </row>
    <row r="973" spans="1:26" ht="15.75" hidden="1" customHeight="1">
      <c r="A973" s="120" t="str">
        <f>IF(B973&lt;&gt;"",IF(AND(B973&gt;=_TM1,B973&lt;=_TM2,OR(TH!L973="1111",TH!M973="1111")),TH!D973,""),"")</f>
        <v/>
      </c>
      <c r="B973" s="12">
        <f t="shared" si="48"/>
        <v>9</v>
      </c>
      <c r="C973" s="105">
        <f t="shared" si="46"/>
        <v>42621</v>
      </c>
      <c r="D973" s="110" t="s">
        <v>1071</v>
      </c>
      <c r="E973" s="474">
        <v>42621</v>
      </c>
      <c r="F973" s="161" t="s">
        <v>541</v>
      </c>
      <c r="G973" s="475" t="s">
        <v>749</v>
      </c>
      <c r="H973" s="112" t="s">
        <v>1072</v>
      </c>
      <c r="I973" s="133">
        <v>1027</v>
      </c>
      <c r="J973" s="133">
        <v>4616.3301732463997</v>
      </c>
      <c r="K973" s="13">
        <f t="shared" si="47"/>
        <v>4740971</v>
      </c>
      <c r="L973" s="113" t="s">
        <v>161</v>
      </c>
      <c r="M973" s="113" t="s">
        <v>159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64"/>
    </row>
    <row r="974" spans="1:26" ht="15.75" hidden="1" customHeight="1">
      <c r="A974" s="120" t="str">
        <f>IF(B974&lt;&gt;"",IF(AND(B974&gt;=_TM1,B974&lt;=_TM2,OR(TH!L974="1111",TH!M974="1111")),TH!D974,""),"")</f>
        <v/>
      </c>
      <c r="B974" s="12">
        <f t="shared" si="48"/>
        <v>9</v>
      </c>
      <c r="C974" s="105">
        <f t="shared" si="46"/>
        <v>42621</v>
      </c>
      <c r="D974" s="110" t="s">
        <v>1071</v>
      </c>
      <c r="E974" s="474">
        <v>42621</v>
      </c>
      <c r="F974" s="161" t="s">
        <v>644</v>
      </c>
      <c r="G974" s="475" t="s">
        <v>750</v>
      </c>
      <c r="H974" s="112" t="s">
        <v>1072</v>
      </c>
      <c r="I974" s="133">
        <v>300</v>
      </c>
      <c r="J974" s="133">
        <v>10221.873955045599</v>
      </c>
      <c r="K974" s="13">
        <f t="shared" si="47"/>
        <v>3066562</v>
      </c>
      <c r="L974" s="113" t="s">
        <v>161</v>
      </c>
      <c r="M974" s="113" t="s">
        <v>159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64"/>
    </row>
    <row r="975" spans="1:26" ht="15.75" hidden="1" customHeight="1">
      <c r="A975" s="120" t="str">
        <f>IF(B975&lt;&gt;"",IF(AND(B975&gt;=_TM1,B975&lt;=_TM2,OR(TH!L975="1111",TH!M975="1111")),TH!D975,""),"")</f>
        <v/>
      </c>
      <c r="B975" s="12">
        <f t="shared" si="48"/>
        <v>9</v>
      </c>
      <c r="C975" s="105">
        <f t="shared" si="46"/>
        <v>42621</v>
      </c>
      <c r="D975" s="110" t="s">
        <v>1071</v>
      </c>
      <c r="E975" s="474">
        <v>42621</v>
      </c>
      <c r="F975" s="161" t="s">
        <v>645</v>
      </c>
      <c r="G975" s="475" t="s">
        <v>750</v>
      </c>
      <c r="H975" s="112" t="s">
        <v>1072</v>
      </c>
      <c r="I975" s="133">
        <v>300</v>
      </c>
      <c r="J975" s="133">
        <v>12530.039041668799</v>
      </c>
      <c r="K975" s="13">
        <f t="shared" si="47"/>
        <v>3759012</v>
      </c>
      <c r="L975" s="113" t="s">
        <v>161</v>
      </c>
      <c r="M975" s="113" t="s">
        <v>159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64"/>
    </row>
    <row r="976" spans="1:26" ht="15.75" hidden="1" customHeight="1">
      <c r="A976" s="120" t="str">
        <f>IF(B976&lt;&gt;"",IF(AND(B976&gt;=_TM1,B976&lt;=_TM2,OR(TH!L976="1111",TH!M976="1111")),TH!D976,""),"")</f>
        <v/>
      </c>
      <c r="B976" s="12">
        <f t="shared" si="48"/>
        <v>9</v>
      </c>
      <c r="C976" s="105">
        <f t="shared" si="46"/>
        <v>42621</v>
      </c>
      <c r="D976" s="110" t="s">
        <v>1071</v>
      </c>
      <c r="E976" s="474">
        <v>42621</v>
      </c>
      <c r="F976" s="161" t="s">
        <v>648</v>
      </c>
      <c r="G976" s="475" t="s">
        <v>750</v>
      </c>
      <c r="H976" s="112" t="s">
        <v>1072</v>
      </c>
      <c r="I976" s="133">
        <v>300</v>
      </c>
      <c r="J976" s="133">
        <v>8985.3569443546003</v>
      </c>
      <c r="K976" s="13">
        <f t="shared" si="47"/>
        <v>2695607</v>
      </c>
      <c r="L976" s="113" t="s">
        <v>161</v>
      </c>
      <c r="M976" s="113" t="s">
        <v>159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64"/>
    </row>
    <row r="977" spans="1:26" ht="15.75" hidden="1" customHeight="1">
      <c r="A977" s="120" t="str">
        <f>IF(B977&lt;&gt;"",IF(AND(B977&gt;=_TM1,B977&lt;=_TM2,OR(TH!L977="1111",TH!M977="1111")),TH!D977,""),"")</f>
        <v/>
      </c>
      <c r="B977" s="12">
        <f t="shared" si="48"/>
        <v>9</v>
      </c>
      <c r="C977" s="105">
        <f t="shared" si="46"/>
        <v>42621</v>
      </c>
      <c r="D977" s="110" t="s">
        <v>1071</v>
      </c>
      <c r="E977" s="474">
        <v>42621</v>
      </c>
      <c r="F977" s="161" t="s">
        <v>646</v>
      </c>
      <c r="G977" s="475" t="s">
        <v>750</v>
      </c>
      <c r="H977" s="112" t="s">
        <v>1072</v>
      </c>
      <c r="I977" s="133">
        <v>300</v>
      </c>
      <c r="J977" s="133">
        <v>9974.5705529073985</v>
      </c>
      <c r="K977" s="13">
        <f t="shared" si="47"/>
        <v>2992371</v>
      </c>
      <c r="L977" s="113" t="s">
        <v>161</v>
      </c>
      <c r="M977" s="113" t="s">
        <v>159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64"/>
    </row>
    <row r="978" spans="1:26" ht="15.75" hidden="1" customHeight="1">
      <c r="A978" s="120" t="str">
        <f>IF(B978&lt;&gt;"",IF(AND(B978&gt;=_TM1,B978&lt;=_TM2,OR(TH!L978="1111",TH!M978="1111")),TH!D978,""),"")</f>
        <v/>
      </c>
      <c r="B978" s="12">
        <f t="shared" si="48"/>
        <v>9</v>
      </c>
      <c r="C978" s="105">
        <f t="shared" si="46"/>
        <v>42621</v>
      </c>
      <c r="D978" s="110" t="s">
        <v>1071</v>
      </c>
      <c r="E978" s="474">
        <v>42621</v>
      </c>
      <c r="F978" s="161" t="s">
        <v>647</v>
      </c>
      <c r="G978" s="475" t="s">
        <v>750</v>
      </c>
      <c r="H978" s="112" t="s">
        <v>1072</v>
      </c>
      <c r="I978" s="133">
        <v>300</v>
      </c>
      <c r="J978" s="133">
        <v>10963.7841614602</v>
      </c>
      <c r="K978" s="13">
        <f t="shared" si="47"/>
        <v>3289135</v>
      </c>
      <c r="L978" s="113" t="s">
        <v>161</v>
      </c>
      <c r="M978" s="113" t="s">
        <v>159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64"/>
    </row>
    <row r="979" spans="1:26" ht="15.75" hidden="1" customHeight="1">
      <c r="A979" s="120" t="str">
        <f>IF(B979&lt;&gt;"",IF(AND(B979&gt;=_TM1,B979&lt;=_TM2,OR(TH!L979="1111",TH!M979="1111")),TH!D979,""),"")</f>
        <v/>
      </c>
      <c r="B979" s="12">
        <f t="shared" si="48"/>
        <v>9</v>
      </c>
      <c r="C979" s="105">
        <f t="shared" si="46"/>
        <v>42624</v>
      </c>
      <c r="D979" s="110" t="s">
        <v>1071</v>
      </c>
      <c r="E979" s="474">
        <v>42624</v>
      </c>
      <c r="F979" s="161" t="s">
        <v>543</v>
      </c>
      <c r="G979" s="475" t="s">
        <v>751</v>
      </c>
      <c r="H979" s="112" t="s">
        <v>1072</v>
      </c>
      <c r="I979" s="133">
        <v>10520</v>
      </c>
      <c r="J979" s="133">
        <v>6759.6263251107994</v>
      </c>
      <c r="K979" s="13">
        <f t="shared" si="47"/>
        <v>71111269</v>
      </c>
      <c r="L979" s="113" t="s">
        <v>161</v>
      </c>
      <c r="M979" s="113" t="s">
        <v>159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64"/>
    </row>
    <row r="980" spans="1:26" ht="15.75" hidden="1" customHeight="1">
      <c r="A980" s="120" t="str">
        <f>IF(B980&lt;&gt;"",IF(AND(B980&gt;=_TM1,B980&lt;=_TM2,OR(TH!L980="1111",TH!M980="1111")),TH!D980,""),"")</f>
        <v/>
      </c>
      <c r="B980" s="12">
        <f t="shared" si="48"/>
        <v>9</v>
      </c>
      <c r="C980" s="105">
        <f t="shared" si="46"/>
        <v>42626</v>
      </c>
      <c r="D980" s="110" t="s">
        <v>1071</v>
      </c>
      <c r="E980" s="474">
        <v>42626</v>
      </c>
      <c r="F980" s="161" t="s">
        <v>662</v>
      </c>
      <c r="G980" s="475" t="s">
        <v>752</v>
      </c>
      <c r="H980" s="112" t="s">
        <v>1072</v>
      </c>
      <c r="I980" s="133">
        <v>210</v>
      </c>
      <c r="J980" s="133">
        <v>7748.8399336635994</v>
      </c>
      <c r="K980" s="13">
        <f t="shared" si="47"/>
        <v>1627256</v>
      </c>
      <c r="L980" s="113" t="s">
        <v>161</v>
      </c>
      <c r="M980" s="113" t="s">
        <v>159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64"/>
    </row>
    <row r="981" spans="1:26" ht="15.75" hidden="1" customHeight="1">
      <c r="A981" s="120" t="str">
        <f>IF(B981&lt;&gt;"",IF(AND(B981&gt;=_TM1,B981&lt;=_TM2,OR(TH!L981="1111",TH!M981="1111")),TH!D981,""),"")</f>
        <v/>
      </c>
      <c r="B981" s="12">
        <f t="shared" si="48"/>
        <v>9</v>
      </c>
      <c r="C981" s="105">
        <f t="shared" si="46"/>
        <v>42626</v>
      </c>
      <c r="D981" s="110" t="s">
        <v>1071</v>
      </c>
      <c r="E981" s="474">
        <v>42626</v>
      </c>
      <c r="F981" s="161" t="s">
        <v>663</v>
      </c>
      <c r="G981" s="475" t="s">
        <v>752</v>
      </c>
      <c r="H981" s="112" t="s">
        <v>1072</v>
      </c>
      <c r="I981" s="133">
        <v>200</v>
      </c>
      <c r="J981" s="133">
        <v>7089.3641946283997</v>
      </c>
      <c r="K981" s="13">
        <f t="shared" si="47"/>
        <v>1417873</v>
      </c>
      <c r="L981" s="113" t="s">
        <v>161</v>
      </c>
      <c r="M981" s="113" t="s">
        <v>159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64"/>
    </row>
    <row r="982" spans="1:26" ht="15.75" hidden="1" customHeight="1">
      <c r="A982" s="120" t="str">
        <f>IF(B982&lt;&gt;"",IF(AND(B982&gt;=_TM1,B982&lt;=_TM2,OR(TH!L982="1111",TH!M982="1111")),TH!D982,""),"")</f>
        <v/>
      </c>
      <c r="B982" s="12">
        <f t="shared" si="48"/>
        <v>9</v>
      </c>
      <c r="C982" s="105">
        <f t="shared" si="46"/>
        <v>42626</v>
      </c>
      <c r="D982" s="110" t="s">
        <v>1071</v>
      </c>
      <c r="E982" s="474">
        <v>42626</v>
      </c>
      <c r="F982" s="161" t="s">
        <v>661</v>
      </c>
      <c r="G982" s="475" t="s">
        <v>752</v>
      </c>
      <c r="H982" s="112" t="s">
        <v>1072</v>
      </c>
      <c r="I982" s="133">
        <v>171</v>
      </c>
      <c r="J982" s="133">
        <v>8985.3569443546003</v>
      </c>
      <c r="K982" s="13">
        <f t="shared" si="47"/>
        <v>1536496</v>
      </c>
      <c r="L982" s="113" t="s">
        <v>161</v>
      </c>
      <c r="M982" s="113" t="s">
        <v>159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64"/>
    </row>
    <row r="983" spans="1:26" ht="15.75" hidden="1" customHeight="1">
      <c r="A983" s="120" t="str">
        <f>IF(B983&lt;&gt;"",IF(AND(B983&gt;=_TM1,B983&lt;=_TM2,OR(TH!L983="1111",TH!M983="1111")),TH!D983,""),"")</f>
        <v/>
      </c>
      <c r="B983" s="12">
        <f t="shared" si="48"/>
        <v>9</v>
      </c>
      <c r="C983" s="105">
        <f t="shared" si="46"/>
        <v>42627</v>
      </c>
      <c r="D983" s="110" t="s">
        <v>1071</v>
      </c>
      <c r="E983" s="474">
        <v>42627</v>
      </c>
      <c r="F983" s="161" t="s">
        <v>815</v>
      </c>
      <c r="G983" s="475" t="s">
        <v>753</v>
      </c>
      <c r="H983" s="112" t="s">
        <v>1072</v>
      </c>
      <c r="I983" s="133">
        <v>2400</v>
      </c>
      <c r="J983" s="133">
        <v>3214.9442277966</v>
      </c>
      <c r="K983" s="13">
        <f t="shared" si="47"/>
        <v>7715866</v>
      </c>
      <c r="L983" s="113" t="s">
        <v>161</v>
      </c>
      <c r="M983" s="113" t="s">
        <v>159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64"/>
    </row>
    <row r="984" spans="1:26" ht="15.75" hidden="1" customHeight="1">
      <c r="A984" s="120" t="str">
        <f>IF(B984&lt;&gt;"",IF(AND(B984&gt;=_TM1,B984&lt;=_TM2,OR(TH!L984="1111",TH!M984="1111")),TH!D984,""),"")</f>
        <v/>
      </c>
      <c r="B984" s="12">
        <f t="shared" si="48"/>
        <v>9</v>
      </c>
      <c r="C984" s="105">
        <f t="shared" si="46"/>
        <v>42627</v>
      </c>
      <c r="D984" s="110" t="s">
        <v>1071</v>
      </c>
      <c r="E984" s="474">
        <v>42627</v>
      </c>
      <c r="F984" s="161" t="s">
        <v>816</v>
      </c>
      <c r="G984" s="475" t="s">
        <v>753</v>
      </c>
      <c r="H984" s="112" t="s">
        <v>1072</v>
      </c>
      <c r="I984" s="133">
        <v>500</v>
      </c>
      <c r="J984" s="133">
        <v>6594.7573903519997</v>
      </c>
      <c r="K984" s="13">
        <f t="shared" si="47"/>
        <v>3297379</v>
      </c>
      <c r="L984" s="113" t="s">
        <v>161</v>
      </c>
      <c r="M984" s="113" t="s">
        <v>159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64"/>
    </row>
    <row r="985" spans="1:26" ht="15.75" hidden="1" customHeight="1">
      <c r="A985" s="120" t="str">
        <f>IF(B985&lt;&gt;"",IF(AND(B985&gt;=_TM1,B985&lt;=_TM2,OR(TH!L985="1111",TH!M985="1111")),TH!D985,""),"")</f>
        <v/>
      </c>
      <c r="B985" s="12">
        <f t="shared" si="48"/>
        <v>9</v>
      </c>
      <c r="C985" s="105">
        <f t="shared" si="46"/>
        <v>42628</v>
      </c>
      <c r="D985" s="110" t="s">
        <v>1071</v>
      </c>
      <c r="E985" s="474">
        <v>42628</v>
      </c>
      <c r="F985" s="161" t="s">
        <v>518</v>
      </c>
      <c r="G985" s="475" t="s">
        <v>754</v>
      </c>
      <c r="H985" s="112" t="s">
        <v>1072</v>
      </c>
      <c r="I985" s="133">
        <v>1820</v>
      </c>
      <c r="J985" s="133">
        <v>6759.6263251107994</v>
      </c>
      <c r="K985" s="13">
        <f t="shared" si="47"/>
        <v>12302520</v>
      </c>
      <c r="L985" s="113" t="s">
        <v>161</v>
      </c>
      <c r="M985" s="113" t="s">
        <v>159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64"/>
    </row>
    <row r="986" spans="1:26" ht="15.75" hidden="1" customHeight="1">
      <c r="A986" s="120" t="str">
        <f>IF(B986&lt;&gt;"",IF(AND(B986&gt;=_TM1,B986&lt;=_TM2,OR(TH!L986="1111",TH!M986="1111")),TH!D986,""),"")</f>
        <v/>
      </c>
      <c r="B986" s="12">
        <f t="shared" si="48"/>
        <v>9</v>
      </c>
      <c r="C986" s="105">
        <f t="shared" si="46"/>
        <v>42628</v>
      </c>
      <c r="D986" s="110" t="s">
        <v>1071</v>
      </c>
      <c r="E986" s="474">
        <v>42628</v>
      </c>
      <c r="F986" s="161" t="s">
        <v>544</v>
      </c>
      <c r="G986" s="475" t="s">
        <v>754</v>
      </c>
      <c r="H986" s="112" t="s">
        <v>1072</v>
      </c>
      <c r="I986" s="133">
        <v>620</v>
      </c>
      <c r="J986" s="133">
        <v>7501.5365315253994</v>
      </c>
      <c r="K986" s="13">
        <f t="shared" si="47"/>
        <v>4650953</v>
      </c>
      <c r="L986" s="113" t="s">
        <v>161</v>
      </c>
      <c r="M986" s="113" t="s">
        <v>159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64"/>
    </row>
    <row r="987" spans="1:26" ht="15.75" hidden="1" customHeight="1">
      <c r="A987" s="120" t="str">
        <f>IF(B987&lt;&gt;"",IF(AND(B987&gt;=_TM1,B987&lt;=_TM2,OR(TH!L987="1111",TH!M987="1111")),TH!D987,""),"")</f>
        <v/>
      </c>
      <c r="B987" s="12">
        <f t="shared" si="48"/>
        <v>9</v>
      </c>
      <c r="C987" s="105">
        <f t="shared" si="46"/>
        <v>42628</v>
      </c>
      <c r="D987" s="110" t="s">
        <v>1071</v>
      </c>
      <c r="E987" s="474">
        <v>42628</v>
      </c>
      <c r="F987" s="161" t="s">
        <v>545</v>
      </c>
      <c r="G987" s="475" t="s">
        <v>754</v>
      </c>
      <c r="H987" s="112" t="s">
        <v>1072</v>
      </c>
      <c r="I987" s="133">
        <v>304</v>
      </c>
      <c r="J987" s="133">
        <v>6677.1918577314</v>
      </c>
      <c r="K987" s="13">
        <f t="shared" si="47"/>
        <v>2029866</v>
      </c>
      <c r="L987" s="113" t="s">
        <v>161</v>
      </c>
      <c r="M987" s="113" t="s">
        <v>159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64"/>
    </row>
    <row r="988" spans="1:26" ht="15.75" hidden="1" customHeight="1">
      <c r="A988" s="120" t="str">
        <f>IF(B988&lt;&gt;"",IF(AND(B988&gt;=_TM1,B988&lt;=_TM2,OR(TH!L988="1111",TH!M988="1111")),TH!D988,""),"")</f>
        <v/>
      </c>
      <c r="B988" s="12">
        <f t="shared" si="48"/>
        <v>9</v>
      </c>
      <c r="C988" s="105">
        <f t="shared" si="46"/>
        <v>42628</v>
      </c>
      <c r="D988" s="110" t="s">
        <v>1071</v>
      </c>
      <c r="E988" s="474">
        <v>42628</v>
      </c>
      <c r="F988" s="161" t="s">
        <v>546</v>
      </c>
      <c r="G988" s="475" t="s">
        <v>754</v>
      </c>
      <c r="H988" s="112" t="s">
        <v>1072</v>
      </c>
      <c r="I988" s="133">
        <v>316</v>
      </c>
      <c r="J988" s="133">
        <v>7419.102064146</v>
      </c>
      <c r="K988" s="13">
        <f t="shared" si="47"/>
        <v>2344436</v>
      </c>
      <c r="L988" s="113" t="s">
        <v>161</v>
      </c>
      <c r="M988" s="113" t="s">
        <v>159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64"/>
    </row>
    <row r="989" spans="1:26" ht="15.75" hidden="1" customHeight="1">
      <c r="A989" s="120" t="str">
        <f>IF(B989&lt;&gt;"",IF(AND(B989&gt;=_TM1,B989&lt;=_TM2,OR(TH!L989="1111",TH!M989="1111")),TH!D989,""),"")</f>
        <v/>
      </c>
      <c r="B989" s="12">
        <f t="shared" si="48"/>
        <v>9</v>
      </c>
      <c r="C989" s="105">
        <f t="shared" si="46"/>
        <v>42635</v>
      </c>
      <c r="D989" s="110" t="s">
        <v>1071</v>
      </c>
      <c r="E989" s="474">
        <v>42635</v>
      </c>
      <c r="F989" s="161" t="s">
        <v>513</v>
      </c>
      <c r="G989" s="475" t="s">
        <v>755</v>
      </c>
      <c r="H989" s="112" t="s">
        <v>1072</v>
      </c>
      <c r="I989" s="133">
        <v>300</v>
      </c>
      <c r="J989" s="133">
        <v>7831.2744010429988</v>
      </c>
      <c r="K989" s="13">
        <f t="shared" si="47"/>
        <v>2349382</v>
      </c>
      <c r="L989" s="113" t="s">
        <v>161</v>
      </c>
      <c r="M989" s="113" t="s">
        <v>159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64"/>
    </row>
    <row r="990" spans="1:26" ht="15.75" hidden="1" customHeight="1">
      <c r="A990" s="120" t="str">
        <f>IF(B990&lt;&gt;"",IF(AND(B990&gt;=_TM1,B990&lt;=_TM2,OR(TH!L990="1111",TH!M990="1111")),TH!D990,""),"")</f>
        <v/>
      </c>
      <c r="B990" s="12">
        <f t="shared" si="48"/>
        <v>9</v>
      </c>
      <c r="C990" s="105">
        <f t="shared" ref="C990:C1023" si="49">E990</f>
        <v>42639</v>
      </c>
      <c r="D990" s="110" t="s">
        <v>1071</v>
      </c>
      <c r="E990" s="474">
        <v>42639</v>
      </c>
      <c r="F990" s="161" t="s">
        <v>547</v>
      </c>
      <c r="G990" s="475" t="s">
        <v>756</v>
      </c>
      <c r="H990" s="112" t="s">
        <v>1072</v>
      </c>
      <c r="I990" s="133">
        <v>109</v>
      </c>
      <c r="J990" s="133">
        <v>4451.4612384876</v>
      </c>
      <c r="K990" s="13">
        <f t="shared" si="47"/>
        <v>485209</v>
      </c>
      <c r="L990" s="113" t="s">
        <v>161</v>
      </c>
      <c r="M990" s="113" t="s">
        <v>159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64"/>
    </row>
    <row r="991" spans="1:26" ht="15.75" hidden="1" customHeight="1">
      <c r="A991" s="120" t="str">
        <f>IF(B991&lt;&gt;"",IF(AND(B991&gt;=_TM1,B991&lt;=_TM2,OR(TH!L991="1111",TH!M991="1111")),TH!D991,""),"")</f>
        <v/>
      </c>
      <c r="B991" s="12">
        <f t="shared" si="48"/>
        <v>9</v>
      </c>
      <c r="C991" s="105">
        <f t="shared" si="49"/>
        <v>42639</v>
      </c>
      <c r="D991" s="110" t="s">
        <v>1071</v>
      </c>
      <c r="E991" s="474">
        <v>42639</v>
      </c>
      <c r="F991" s="161" t="s">
        <v>548</v>
      </c>
      <c r="G991" s="475" t="s">
        <v>756</v>
      </c>
      <c r="H991" s="112" t="s">
        <v>1072</v>
      </c>
      <c r="I991" s="133">
        <v>102</v>
      </c>
      <c r="J991" s="133">
        <v>5110.9369775227997</v>
      </c>
      <c r="K991" s="13">
        <f t="shared" si="47"/>
        <v>521316</v>
      </c>
      <c r="L991" s="113" t="s">
        <v>161</v>
      </c>
      <c r="M991" s="113" t="s">
        <v>159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64"/>
    </row>
    <row r="992" spans="1:26" ht="15.75" hidden="1" customHeight="1">
      <c r="A992" s="120" t="str">
        <f>IF(B992&lt;&gt;"",IF(AND(B992&gt;=_TM1,B992&lt;=_TM2,OR(TH!L992="1111",TH!M992="1111")),TH!D992,""),"")</f>
        <v/>
      </c>
      <c r="B992" s="12">
        <f t="shared" si="48"/>
        <v>9</v>
      </c>
      <c r="C992" s="105">
        <f t="shared" si="49"/>
        <v>42639</v>
      </c>
      <c r="D992" s="110" t="s">
        <v>1071</v>
      </c>
      <c r="E992" s="474">
        <v>42639</v>
      </c>
      <c r="F992" s="161" t="s">
        <v>661</v>
      </c>
      <c r="G992" s="475" t="s">
        <v>756</v>
      </c>
      <c r="H992" s="112" t="s">
        <v>1072</v>
      </c>
      <c r="I992" s="133">
        <v>56</v>
      </c>
      <c r="J992" s="133">
        <v>8985.3569443546003</v>
      </c>
      <c r="K992" s="13">
        <f t="shared" si="47"/>
        <v>503180</v>
      </c>
      <c r="L992" s="113" t="s">
        <v>161</v>
      </c>
      <c r="M992" s="113" t="s">
        <v>159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64"/>
    </row>
    <row r="993" spans="1:26" ht="15.75" hidden="1" customHeight="1">
      <c r="A993" s="120" t="str">
        <f>IF(B993&lt;&gt;"",IF(AND(B993&gt;=_TM1,B993&lt;=_TM2,OR(TH!L993="1111",TH!M993="1111")),TH!D993,""),"")</f>
        <v/>
      </c>
      <c r="B993" s="12">
        <f t="shared" si="48"/>
        <v>9</v>
      </c>
      <c r="C993" s="105">
        <f t="shared" si="49"/>
        <v>42640</v>
      </c>
      <c r="D993" s="110" t="s">
        <v>1071</v>
      </c>
      <c r="E993" s="474">
        <v>42640</v>
      </c>
      <c r="F993" s="161" t="s">
        <v>498</v>
      </c>
      <c r="G993" s="475" t="s">
        <v>757</v>
      </c>
      <c r="H993" s="112" t="s">
        <v>1072</v>
      </c>
      <c r="I993" s="133">
        <v>533</v>
      </c>
      <c r="J993" s="133">
        <v>10551.611824563199</v>
      </c>
      <c r="K993" s="13">
        <f t="shared" si="47"/>
        <v>5624009</v>
      </c>
      <c r="L993" s="113" t="s">
        <v>161</v>
      </c>
      <c r="M993" s="113" t="s">
        <v>159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64"/>
    </row>
    <row r="994" spans="1:26" ht="15.75" hidden="1" customHeight="1">
      <c r="A994" s="120" t="str">
        <f>IF(B994&lt;&gt;"",IF(AND(B994&gt;=_TM1,B994&lt;=_TM2,OR(TH!L994="1111",TH!M994="1111")),TH!D994,""),"")</f>
        <v/>
      </c>
      <c r="B994" s="12">
        <f t="shared" si="48"/>
        <v>9</v>
      </c>
      <c r="C994" s="105">
        <f t="shared" si="49"/>
        <v>42640</v>
      </c>
      <c r="D994" s="110" t="s">
        <v>1071</v>
      </c>
      <c r="E994" s="474">
        <v>42640</v>
      </c>
      <c r="F994" s="161" t="s">
        <v>498</v>
      </c>
      <c r="G994" s="475" t="s">
        <v>758</v>
      </c>
      <c r="H994" s="112" t="s">
        <v>1072</v>
      </c>
      <c r="I994" s="133">
        <v>156</v>
      </c>
      <c r="J994" s="133">
        <v>10551.611824563199</v>
      </c>
      <c r="K994" s="13">
        <f t="shared" si="47"/>
        <v>1646051</v>
      </c>
      <c r="L994" s="113" t="s">
        <v>161</v>
      </c>
      <c r="M994" s="113" t="s">
        <v>159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64"/>
    </row>
    <row r="995" spans="1:26" ht="15.75" hidden="1" customHeight="1">
      <c r="A995" s="120" t="str">
        <f>IF(B995&lt;&gt;"",IF(AND(B995&gt;=_TM1,B995&lt;=_TM2,OR(TH!L995="1111",TH!M995="1111")),TH!D995,""),"")</f>
        <v/>
      </c>
      <c r="B995" s="12">
        <f t="shared" si="48"/>
        <v>9</v>
      </c>
      <c r="C995" s="105">
        <f t="shared" si="49"/>
        <v>42640</v>
      </c>
      <c r="D995" s="110" t="s">
        <v>1071</v>
      </c>
      <c r="E995" s="474">
        <v>42640</v>
      </c>
      <c r="F995" s="161" t="s">
        <v>652</v>
      </c>
      <c r="G995" s="475" t="s">
        <v>758</v>
      </c>
      <c r="H995" s="112" t="s">
        <v>1072</v>
      </c>
      <c r="I995" s="133">
        <v>2520</v>
      </c>
      <c r="J995" s="133">
        <v>8820.4880095957997</v>
      </c>
      <c r="K995" s="13">
        <f t="shared" si="47"/>
        <v>22227630</v>
      </c>
      <c r="L995" s="113" t="s">
        <v>161</v>
      </c>
      <c r="M995" s="113" t="s">
        <v>159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64"/>
    </row>
    <row r="996" spans="1:26" ht="15.75" hidden="1" customHeight="1">
      <c r="A996" s="120" t="str">
        <f>IF(B996&lt;&gt;"",IF(AND(B996&gt;=_TM1,B996&lt;=_TM2,OR(TH!L996="1111",TH!M996="1111")),TH!D996,""),"")</f>
        <v/>
      </c>
      <c r="B996" s="12">
        <f t="shared" si="48"/>
        <v>9</v>
      </c>
      <c r="C996" s="105">
        <f t="shared" si="49"/>
        <v>42640</v>
      </c>
      <c r="D996" s="110" t="s">
        <v>1071</v>
      </c>
      <c r="E996" s="474">
        <v>42640</v>
      </c>
      <c r="F996" s="161" t="s">
        <v>653</v>
      </c>
      <c r="G996" s="475" t="s">
        <v>758</v>
      </c>
      <c r="H996" s="112" t="s">
        <v>1072</v>
      </c>
      <c r="I996" s="133">
        <v>44</v>
      </c>
      <c r="J996" s="133">
        <v>12777.342443807</v>
      </c>
      <c r="K996" s="13">
        <f t="shared" si="47"/>
        <v>562203</v>
      </c>
      <c r="L996" s="113" t="s">
        <v>161</v>
      </c>
      <c r="M996" s="113" t="s">
        <v>159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64"/>
    </row>
    <row r="997" spans="1:26" ht="15.75" hidden="1" customHeight="1">
      <c r="A997" s="120" t="str">
        <f>IF(B997&lt;&gt;"",IF(AND(B997&gt;=_TM1,B997&lt;=_TM2,OR(TH!L997="1111",TH!M997="1111")),TH!D997,""),"")</f>
        <v/>
      </c>
      <c r="B997" s="12">
        <f t="shared" si="48"/>
        <v>9</v>
      </c>
      <c r="C997" s="105">
        <f t="shared" si="49"/>
        <v>42641</v>
      </c>
      <c r="D997" s="110" t="s">
        <v>1071</v>
      </c>
      <c r="E997" s="474">
        <v>42641</v>
      </c>
      <c r="F997" s="161" t="s">
        <v>509</v>
      </c>
      <c r="G997" s="475" t="s">
        <v>429</v>
      </c>
      <c r="H997" s="112" t="s">
        <v>1072</v>
      </c>
      <c r="I997" s="133">
        <v>211</v>
      </c>
      <c r="J997" s="133">
        <v>11046.218628839601</v>
      </c>
      <c r="K997" s="13">
        <f t="shared" si="47"/>
        <v>2330752</v>
      </c>
      <c r="L997" s="113" t="s">
        <v>161</v>
      </c>
      <c r="M997" s="113" t="s">
        <v>159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63"/>
    </row>
    <row r="998" spans="1:26" ht="15.75" hidden="1" customHeight="1">
      <c r="A998" s="120" t="str">
        <f>IF(B998&lt;&gt;"",IF(AND(B998&gt;=_TM1,B998&lt;=_TM2,OR(TH!L998="1111",TH!M998="1111")),TH!D998,""),"")</f>
        <v/>
      </c>
      <c r="B998" s="542">
        <f t="shared" si="48"/>
        <v>10</v>
      </c>
      <c r="C998" s="543">
        <f t="shared" si="49"/>
        <v>42647</v>
      </c>
      <c r="D998" s="544" t="s">
        <v>1071</v>
      </c>
      <c r="E998" s="595">
        <v>42647</v>
      </c>
      <c r="F998" s="599" t="s">
        <v>800</v>
      </c>
      <c r="G998" s="597" t="s">
        <v>799</v>
      </c>
      <c r="H998" s="598" t="s">
        <v>1072</v>
      </c>
      <c r="I998" s="548">
        <v>423</v>
      </c>
      <c r="J998" s="548">
        <v>5706.4898215078556</v>
      </c>
      <c r="K998" s="551">
        <f t="shared" ref="K998:K1061" si="50">ROUND(I998*J998,0)</f>
        <v>2413845</v>
      </c>
      <c r="L998" s="556" t="s">
        <v>161</v>
      </c>
      <c r="M998" s="556" t="s">
        <v>159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65"/>
    </row>
    <row r="999" spans="1:26" ht="15.75" hidden="1" customHeight="1">
      <c r="A999" s="120" t="str">
        <f>IF(B999&lt;&gt;"",IF(AND(B999&gt;=_TM1,B999&lt;=_TM2,OR(TH!L999="1111",TH!M999="1111")),TH!D999,""),"")</f>
        <v/>
      </c>
      <c r="B999" s="12">
        <f t="shared" si="48"/>
        <v>10</v>
      </c>
      <c r="C999" s="105">
        <f t="shared" si="49"/>
        <v>42647</v>
      </c>
      <c r="D999" s="110" t="s">
        <v>1071</v>
      </c>
      <c r="E999" s="472">
        <v>42647</v>
      </c>
      <c r="F999" s="161" t="s">
        <v>802</v>
      </c>
      <c r="G999" s="473" t="s">
        <v>801</v>
      </c>
      <c r="H999" s="112" t="s">
        <v>1072</v>
      </c>
      <c r="I999" s="133">
        <v>943</v>
      </c>
      <c r="J999" s="133">
        <v>5402.1436976941031</v>
      </c>
      <c r="K999" s="13">
        <f t="shared" si="50"/>
        <v>5094222</v>
      </c>
      <c r="L999" s="113" t="s">
        <v>161</v>
      </c>
      <c r="M999" s="113" t="s">
        <v>159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63"/>
    </row>
    <row r="1000" spans="1:26" ht="15.75" hidden="1" customHeight="1">
      <c r="A1000" s="120" t="str">
        <f>IF(B1000&lt;&gt;"",IF(AND(B1000&gt;=_TM1,B1000&lt;=_TM2,OR(TH!L1000="1111",TH!M1000="1111")),TH!D1000,""),"")</f>
        <v/>
      </c>
      <c r="B1000" s="12">
        <f t="shared" ref="B1000:B1063" si="51">IF(C1000&lt;&gt;"",MONTH(C1000),"")</f>
        <v>10</v>
      </c>
      <c r="C1000" s="105">
        <f t="shared" si="49"/>
        <v>42647</v>
      </c>
      <c r="D1000" s="110" t="s">
        <v>1071</v>
      </c>
      <c r="E1000" s="472">
        <v>42647</v>
      </c>
      <c r="F1000" s="161" t="s">
        <v>803</v>
      </c>
      <c r="G1000" s="473" t="s">
        <v>801</v>
      </c>
      <c r="H1000" s="112" t="s">
        <v>1072</v>
      </c>
      <c r="I1000" s="133">
        <v>270</v>
      </c>
      <c r="J1000" s="133">
        <v>6543.4416619956746</v>
      </c>
      <c r="K1000" s="13">
        <f t="shared" si="50"/>
        <v>1766729</v>
      </c>
      <c r="L1000" s="113" t="s">
        <v>161</v>
      </c>
      <c r="M1000" s="113" t="s">
        <v>159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63"/>
    </row>
    <row r="1001" spans="1:26" ht="15.75" hidden="1" customHeight="1">
      <c r="A1001" s="120" t="str">
        <f>IF(B1001&lt;&gt;"",IF(AND(B1001&gt;=_TM1,B1001&lt;=_TM2,OR(TH!L1001="1111",TH!M1001="1111")),TH!D1001,""),"")</f>
        <v/>
      </c>
      <c r="B1001" s="12">
        <f t="shared" si="51"/>
        <v>10</v>
      </c>
      <c r="C1001" s="105">
        <f t="shared" si="49"/>
        <v>42648</v>
      </c>
      <c r="D1001" s="110" t="s">
        <v>1071</v>
      </c>
      <c r="E1001" s="472">
        <v>42648</v>
      </c>
      <c r="F1001" s="161" t="s">
        <v>805</v>
      </c>
      <c r="G1001" s="473" t="s">
        <v>804</v>
      </c>
      <c r="H1001" s="112" t="s">
        <v>1072</v>
      </c>
      <c r="I1001" s="133">
        <v>305</v>
      </c>
      <c r="J1001" s="133">
        <v>7076.0473786697412</v>
      </c>
      <c r="K1001" s="13">
        <f t="shared" si="50"/>
        <v>2158194</v>
      </c>
      <c r="L1001" s="113" t="s">
        <v>161</v>
      </c>
      <c r="M1001" s="113" t="s">
        <v>159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63"/>
    </row>
    <row r="1002" spans="1:26" ht="15.75" hidden="1" customHeight="1">
      <c r="A1002" s="120" t="str">
        <f>IF(B1002&lt;&gt;"",IF(AND(B1002&gt;=_TM1,B1002&lt;=_TM2,OR(TH!L1002="1111",TH!M1002="1111")),TH!D1002,""),"")</f>
        <v/>
      </c>
      <c r="B1002" s="12">
        <f t="shared" si="51"/>
        <v>10</v>
      </c>
      <c r="C1002" s="105">
        <f t="shared" si="49"/>
        <v>42648</v>
      </c>
      <c r="D1002" s="110" t="s">
        <v>1071</v>
      </c>
      <c r="E1002" s="472">
        <v>42648</v>
      </c>
      <c r="F1002" s="161" t="s">
        <v>806</v>
      </c>
      <c r="G1002" s="473" t="s">
        <v>804</v>
      </c>
      <c r="H1002" s="112" t="s">
        <v>1072</v>
      </c>
      <c r="I1002" s="133">
        <v>55</v>
      </c>
      <c r="J1002" s="133">
        <v>6847.7877858094271</v>
      </c>
      <c r="K1002" s="13">
        <f t="shared" si="50"/>
        <v>376628</v>
      </c>
      <c r="L1002" s="113" t="s">
        <v>161</v>
      </c>
      <c r="M1002" s="113" t="s">
        <v>159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63"/>
    </row>
    <row r="1003" spans="1:26" ht="15.75" hidden="1" customHeight="1">
      <c r="A1003" s="120" t="str">
        <f>IF(B1003&lt;&gt;"",IF(AND(B1003&gt;=_TM1,B1003&lt;=_TM2,OR(TH!L1003="1111",TH!M1003="1111")),TH!D1003,""),"")</f>
        <v/>
      </c>
      <c r="B1003" s="12">
        <f t="shared" si="51"/>
        <v>10</v>
      </c>
      <c r="C1003" s="105">
        <f t="shared" si="49"/>
        <v>42648</v>
      </c>
      <c r="D1003" s="110" t="s">
        <v>1071</v>
      </c>
      <c r="E1003" s="472">
        <v>42648</v>
      </c>
      <c r="F1003" s="161" t="s">
        <v>807</v>
      </c>
      <c r="G1003" s="473" t="s">
        <v>804</v>
      </c>
      <c r="H1003" s="112" t="s">
        <v>1072</v>
      </c>
      <c r="I1003" s="491">
        <v>205</v>
      </c>
      <c r="J1003" s="133">
        <v>2358.6824595565804</v>
      </c>
      <c r="K1003" s="13">
        <f t="shared" si="50"/>
        <v>483530</v>
      </c>
      <c r="L1003" s="113" t="s">
        <v>161</v>
      </c>
      <c r="M1003" s="113" t="s">
        <v>159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63"/>
    </row>
    <row r="1004" spans="1:26" ht="15.75" hidden="1" customHeight="1">
      <c r="A1004" s="120" t="str">
        <f>IF(B1004&lt;&gt;"",IF(AND(B1004&gt;=_TM1,B1004&lt;=_TM2,OR(TH!L1004="1111",TH!M1004="1111")),TH!D1004,""),"")</f>
        <v/>
      </c>
      <c r="B1004" s="542">
        <f t="shared" si="51"/>
        <v>10</v>
      </c>
      <c r="C1004" s="105">
        <f t="shared" si="49"/>
        <v>42648</v>
      </c>
      <c r="D1004" s="110" t="s">
        <v>1071</v>
      </c>
      <c r="E1004" s="472">
        <v>42648</v>
      </c>
      <c r="F1004" s="161" t="s">
        <v>518</v>
      </c>
      <c r="G1004" s="473" t="s">
        <v>808</v>
      </c>
      <c r="H1004" s="112" t="s">
        <v>1072</v>
      </c>
      <c r="I1004" s="136">
        <v>320</v>
      </c>
      <c r="J1004" s="136">
        <v>6239.0955381819222</v>
      </c>
      <c r="K1004" s="13">
        <f t="shared" si="50"/>
        <v>1996511</v>
      </c>
      <c r="L1004" s="113" t="s">
        <v>161</v>
      </c>
      <c r="M1004" s="113" t="s">
        <v>159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63"/>
    </row>
    <row r="1005" spans="1:26" ht="15.75" hidden="1" customHeight="1">
      <c r="A1005" s="120" t="str">
        <f>IF(B1005&lt;&gt;"",IF(AND(B1005&gt;=_TM1,B1005&lt;=_TM2,OR(TH!L1005="1111",TH!M1005="1111")),TH!D1005,""),"")</f>
        <v/>
      </c>
      <c r="B1005" s="12">
        <f t="shared" si="51"/>
        <v>10</v>
      </c>
      <c r="C1005" s="105">
        <f t="shared" si="49"/>
        <v>42648</v>
      </c>
      <c r="D1005" s="110" t="s">
        <v>1071</v>
      </c>
      <c r="E1005" s="472">
        <v>42648</v>
      </c>
      <c r="F1005" s="161" t="s">
        <v>520</v>
      </c>
      <c r="G1005" s="473" t="s">
        <v>808</v>
      </c>
      <c r="H1005" s="112" t="s">
        <v>1072</v>
      </c>
      <c r="I1005" s="136">
        <v>659</v>
      </c>
      <c r="J1005" s="136">
        <v>12021.671890643216</v>
      </c>
      <c r="K1005" s="13">
        <f t="shared" si="50"/>
        <v>7922282</v>
      </c>
      <c r="L1005" s="113" t="s">
        <v>161</v>
      </c>
      <c r="M1005" s="113" t="s">
        <v>159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63"/>
    </row>
    <row r="1006" spans="1:26" ht="15.75" hidden="1" customHeight="1">
      <c r="A1006" s="120" t="str">
        <f>IF(B1006&lt;&gt;"",IF(AND(B1006&gt;=_TM1,B1006&lt;=_TM2,OR(TH!L1006="1111",TH!M1006="1111")),TH!D1006,""),"")</f>
        <v/>
      </c>
      <c r="B1006" s="12">
        <f t="shared" si="51"/>
        <v>10</v>
      </c>
      <c r="C1006" s="105">
        <f t="shared" si="49"/>
        <v>42649</v>
      </c>
      <c r="D1006" s="110" t="s">
        <v>1071</v>
      </c>
      <c r="E1006" s="472">
        <v>42649</v>
      </c>
      <c r="F1006" s="161" t="s">
        <v>524</v>
      </c>
      <c r="G1006" s="473" t="s">
        <v>434</v>
      </c>
      <c r="H1006" s="112" t="s">
        <v>1072</v>
      </c>
      <c r="I1006" s="133">
        <v>400</v>
      </c>
      <c r="J1006" s="133">
        <v>14304.267819246357</v>
      </c>
      <c r="K1006" s="13">
        <f t="shared" si="50"/>
        <v>5721707</v>
      </c>
      <c r="L1006" s="113" t="s">
        <v>161</v>
      </c>
      <c r="M1006" s="113" t="s">
        <v>159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63"/>
    </row>
    <row r="1007" spans="1:26" ht="15.75" hidden="1" customHeight="1">
      <c r="A1007" s="120" t="str">
        <f>IF(B1007&lt;&gt;"",IF(AND(B1007&gt;=_TM1,B1007&lt;=_TM2,OR(TH!L1007="1111",TH!M1007="1111")),TH!D1007,""),"")</f>
        <v/>
      </c>
      <c r="B1007" s="12">
        <f t="shared" si="51"/>
        <v>10</v>
      </c>
      <c r="C1007" s="105">
        <f t="shared" si="49"/>
        <v>42660</v>
      </c>
      <c r="D1007" s="110" t="s">
        <v>1071</v>
      </c>
      <c r="E1007" s="472">
        <v>42660</v>
      </c>
      <c r="F1007" s="161" t="s">
        <v>672</v>
      </c>
      <c r="G1007" s="473" t="s">
        <v>759</v>
      </c>
      <c r="H1007" s="112" t="s">
        <v>1072</v>
      </c>
      <c r="I1007" s="133">
        <v>1800</v>
      </c>
      <c r="J1007" s="133">
        <v>9206.4702453660066</v>
      </c>
      <c r="K1007" s="13">
        <f t="shared" si="50"/>
        <v>16571646</v>
      </c>
      <c r="L1007" s="113" t="s">
        <v>161</v>
      </c>
      <c r="M1007" s="113" t="s">
        <v>159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63"/>
    </row>
    <row r="1008" spans="1:26" ht="15.75" hidden="1" customHeight="1">
      <c r="A1008" s="120" t="str">
        <f>IF(B1008&lt;&gt;"",IF(AND(B1008&gt;=_TM1,B1008&lt;=_TM2,OR(TH!L1008="1111",TH!M1008="1111")),TH!D1008,""),"")</f>
        <v/>
      </c>
      <c r="B1008" s="12">
        <f t="shared" si="51"/>
        <v>10</v>
      </c>
      <c r="C1008" s="105">
        <f t="shared" si="49"/>
        <v>42660</v>
      </c>
      <c r="D1008" s="110" t="s">
        <v>1071</v>
      </c>
      <c r="E1008" s="472">
        <v>42660</v>
      </c>
      <c r="F1008" s="161" t="s">
        <v>671</v>
      </c>
      <c r="G1008" s="473" t="s">
        <v>759</v>
      </c>
      <c r="H1008" s="112" t="s">
        <v>1072</v>
      </c>
      <c r="I1008" s="133">
        <v>26</v>
      </c>
      <c r="J1008" s="133">
        <v>8217.3453429713136</v>
      </c>
      <c r="K1008" s="13">
        <f t="shared" si="50"/>
        <v>213651</v>
      </c>
      <c r="L1008" s="113" t="s">
        <v>161</v>
      </c>
      <c r="M1008" s="113" t="s">
        <v>159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63"/>
    </row>
    <row r="1009" spans="1:26" ht="15.75" hidden="1" customHeight="1">
      <c r="A1009" s="120" t="str">
        <f>IF(B1009&lt;&gt;"",IF(AND(B1009&gt;=_TM1,B1009&lt;=_TM2,OR(TH!L1009="1111",TH!M1009="1111")),TH!D1009,""),"")</f>
        <v/>
      </c>
      <c r="B1009" s="12">
        <f t="shared" si="51"/>
        <v>10</v>
      </c>
      <c r="C1009" s="105">
        <f t="shared" si="49"/>
        <v>42662</v>
      </c>
      <c r="D1009" s="110" t="s">
        <v>1071</v>
      </c>
      <c r="E1009" s="472">
        <v>42662</v>
      </c>
      <c r="F1009" s="161" t="s">
        <v>665</v>
      </c>
      <c r="G1009" s="473" t="s">
        <v>760</v>
      </c>
      <c r="H1009" s="112" t="s">
        <v>1072</v>
      </c>
      <c r="I1009" s="134">
        <v>520</v>
      </c>
      <c r="J1009" s="134">
        <v>5858.6628834147323</v>
      </c>
      <c r="K1009" s="13">
        <f t="shared" si="50"/>
        <v>3046505</v>
      </c>
      <c r="L1009" s="113" t="s">
        <v>161</v>
      </c>
      <c r="M1009" s="113" t="s">
        <v>159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63"/>
    </row>
    <row r="1010" spans="1:26" ht="15.75" hidden="1" customHeight="1">
      <c r="A1010" s="120" t="str">
        <f>IF(B1010&lt;&gt;"",IF(AND(B1010&gt;=_TM1,B1010&lt;=_TM2,OR(TH!L1010="1111",TH!M1010="1111")),TH!D1010,""),"")</f>
        <v/>
      </c>
      <c r="B1010" s="12">
        <f t="shared" si="51"/>
        <v>10</v>
      </c>
      <c r="C1010" s="105">
        <f t="shared" si="49"/>
        <v>42662</v>
      </c>
      <c r="D1010" s="110" t="s">
        <v>1071</v>
      </c>
      <c r="E1010" s="472">
        <v>42662</v>
      </c>
      <c r="F1010" s="161" t="s">
        <v>524</v>
      </c>
      <c r="G1010" s="473" t="s">
        <v>760</v>
      </c>
      <c r="H1010" s="112" t="s">
        <v>1072</v>
      </c>
      <c r="I1010" s="133">
        <v>100</v>
      </c>
      <c r="J1010" s="133">
        <v>14304.267819246357</v>
      </c>
      <c r="K1010" s="13">
        <f t="shared" si="50"/>
        <v>1430427</v>
      </c>
      <c r="L1010" s="113" t="s">
        <v>161</v>
      </c>
      <c r="M1010" s="113" t="s">
        <v>159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63"/>
    </row>
    <row r="1011" spans="1:26" ht="15.75" hidden="1" customHeight="1">
      <c r="A1011" s="120" t="str">
        <f>IF(B1011&lt;&gt;"",IF(AND(B1011&gt;=_TM1,B1011&lt;=_TM2,OR(TH!L1011="1111",TH!M1011="1111")),TH!D1011,""),"")</f>
        <v/>
      </c>
      <c r="B1011" s="12">
        <f t="shared" si="51"/>
        <v>10</v>
      </c>
      <c r="C1011" s="105">
        <f t="shared" si="49"/>
        <v>42672</v>
      </c>
      <c r="D1011" s="110" t="s">
        <v>1071</v>
      </c>
      <c r="E1011" s="472">
        <v>42672</v>
      </c>
      <c r="F1011" s="161" t="s">
        <v>666</v>
      </c>
      <c r="G1011" s="473" t="s">
        <v>761</v>
      </c>
      <c r="H1011" s="112" t="s">
        <v>1072</v>
      </c>
      <c r="I1011" s="133">
        <v>36</v>
      </c>
      <c r="J1011" s="133">
        <v>10347.76820966758</v>
      </c>
      <c r="K1011" s="13">
        <f t="shared" si="50"/>
        <v>372520</v>
      </c>
      <c r="L1011" s="113" t="s">
        <v>161</v>
      </c>
      <c r="M1011" s="113" t="s">
        <v>159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63"/>
    </row>
    <row r="1012" spans="1:26" ht="15.75" hidden="1" customHeight="1">
      <c r="A1012" s="120" t="str">
        <f>IF(B1012&lt;&gt;"",IF(AND(B1012&gt;=_TM1,B1012&lt;=_TM2,OR(TH!L1012="1111",TH!M1012="1111")),TH!D1012,""),"")</f>
        <v/>
      </c>
      <c r="B1012" s="12">
        <f t="shared" si="51"/>
        <v>10</v>
      </c>
      <c r="C1012" s="105">
        <f t="shared" si="49"/>
        <v>42672</v>
      </c>
      <c r="D1012" s="110" t="s">
        <v>1071</v>
      </c>
      <c r="E1012" s="472">
        <v>42672</v>
      </c>
      <c r="F1012" s="161" t="s">
        <v>653</v>
      </c>
      <c r="G1012" s="473" t="s">
        <v>761</v>
      </c>
      <c r="H1012" s="112" t="s">
        <v>1072</v>
      </c>
      <c r="I1012" s="133">
        <v>110</v>
      </c>
      <c r="J1012" s="133">
        <v>11793.412297782903</v>
      </c>
      <c r="K1012" s="13">
        <f t="shared" si="50"/>
        <v>1297275</v>
      </c>
      <c r="L1012" s="113" t="s">
        <v>161</v>
      </c>
      <c r="M1012" s="113" t="s">
        <v>159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63"/>
    </row>
    <row r="1013" spans="1:26" ht="15.75" hidden="1" customHeight="1">
      <c r="A1013" s="120" t="str">
        <f>IF(B1013&lt;&gt;"",IF(AND(B1013&gt;=_TM1,B1013&lt;=_TM2,OR(TH!L1013="1111",TH!M1013="1111")),TH!D1013,""),"")</f>
        <v/>
      </c>
      <c r="B1013" s="12">
        <f t="shared" si="51"/>
        <v>10</v>
      </c>
      <c r="C1013" s="105">
        <f t="shared" si="49"/>
        <v>42672</v>
      </c>
      <c r="D1013" s="110" t="s">
        <v>1071</v>
      </c>
      <c r="E1013" s="472">
        <v>42672</v>
      </c>
      <c r="F1013" s="161" t="s">
        <v>667</v>
      </c>
      <c r="G1013" s="473" t="s">
        <v>761</v>
      </c>
      <c r="H1013" s="112" t="s">
        <v>1072</v>
      </c>
      <c r="I1013" s="133">
        <v>111</v>
      </c>
      <c r="J1013" s="133">
        <v>7912.9992191575602</v>
      </c>
      <c r="K1013" s="13">
        <f t="shared" si="50"/>
        <v>878343</v>
      </c>
      <c r="L1013" s="113" t="s">
        <v>161</v>
      </c>
      <c r="M1013" s="113" t="s">
        <v>159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63"/>
    </row>
    <row r="1014" spans="1:26" ht="15.75" hidden="1" customHeight="1">
      <c r="A1014" s="120" t="str">
        <f>IF(B1014&lt;&gt;"",IF(AND(B1014&gt;=_TM1,B1014&lt;=_TM2,OR(TH!L1014="1111",TH!M1014="1111")),TH!D1014,""),"")</f>
        <v/>
      </c>
      <c r="B1014" s="12">
        <f t="shared" si="51"/>
        <v>10</v>
      </c>
      <c r="C1014" s="105">
        <f t="shared" si="49"/>
        <v>42672</v>
      </c>
      <c r="D1014" s="110" t="s">
        <v>1071</v>
      </c>
      <c r="E1014" s="472">
        <v>42672</v>
      </c>
      <c r="F1014" s="161" t="s">
        <v>668</v>
      </c>
      <c r="G1014" s="473" t="s">
        <v>761</v>
      </c>
      <c r="H1014" s="112" t="s">
        <v>1072</v>
      </c>
      <c r="I1014" s="133">
        <v>18</v>
      </c>
      <c r="J1014" s="133">
        <v>12097.758421596654</v>
      </c>
      <c r="K1014" s="13">
        <f t="shared" si="50"/>
        <v>217760</v>
      </c>
      <c r="L1014" s="113" t="s">
        <v>161</v>
      </c>
      <c r="M1014" s="113" t="s">
        <v>159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63"/>
    </row>
    <row r="1015" spans="1:26" ht="15.75" hidden="1" customHeight="1">
      <c r="A1015" s="120" t="str">
        <f>IF(B1015&lt;&gt;"",IF(AND(B1015&gt;=_TM1,B1015&lt;=_TM2,OR(TH!L1015="1111",TH!M1015="1111")),TH!D1015,""),"")</f>
        <v/>
      </c>
      <c r="B1015" s="12">
        <f t="shared" si="51"/>
        <v>10</v>
      </c>
      <c r="C1015" s="105">
        <f t="shared" si="49"/>
        <v>42672</v>
      </c>
      <c r="D1015" s="110" t="s">
        <v>1071</v>
      </c>
      <c r="E1015" s="472">
        <v>42672</v>
      </c>
      <c r="F1015" s="161" t="s">
        <v>498</v>
      </c>
      <c r="G1015" s="473" t="s">
        <v>761</v>
      </c>
      <c r="H1015" s="112" t="s">
        <v>1072</v>
      </c>
      <c r="I1015" s="133">
        <v>52</v>
      </c>
      <c r="J1015" s="133">
        <v>9739.075962040075</v>
      </c>
      <c r="K1015" s="13">
        <f t="shared" si="50"/>
        <v>506432</v>
      </c>
      <c r="L1015" s="113" t="s">
        <v>161</v>
      </c>
      <c r="M1015" s="113" t="s">
        <v>159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63"/>
    </row>
    <row r="1016" spans="1:26" ht="15.75" hidden="1" customHeight="1">
      <c r="A1016" s="120" t="str">
        <f>IF(B1016&lt;&gt;"",IF(AND(B1016&gt;=_TM1,B1016&lt;=_TM2,OR(TH!L1016="1111",TH!M1016="1111")),TH!D1016,""),"")</f>
        <v/>
      </c>
      <c r="B1016" s="12">
        <f t="shared" si="51"/>
        <v>10</v>
      </c>
      <c r="C1016" s="105">
        <f t="shared" si="49"/>
        <v>42672</v>
      </c>
      <c r="D1016" s="110" t="s">
        <v>1071</v>
      </c>
      <c r="E1016" s="472">
        <v>42672</v>
      </c>
      <c r="F1016" s="161" t="s">
        <v>498</v>
      </c>
      <c r="G1016" s="473" t="s">
        <v>762</v>
      </c>
      <c r="H1016" s="112" t="s">
        <v>1072</v>
      </c>
      <c r="I1016" s="133">
        <v>206</v>
      </c>
      <c r="J1016" s="133">
        <v>9739.075962040075</v>
      </c>
      <c r="K1016" s="13">
        <f t="shared" si="50"/>
        <v>2006250</v>
      </c>
      <c r="L1016" s="113" t="s">
        <v>161</v>
      </c>
      <c r="M1016" s="113" t="s">
        <v>159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63"/>
    </row>
    <row r="1017" spans="1:26" ht="15.75" hidden="1" customHeight="1">
      <c r="A1017" s="120" t="str">
        <f>IF(B1017&lt;&gt;"",IF(AND(B1017&gt;=_TM1,B1017&lt;=_TM2,OR(TH!L1017="1111",TH!M1017="1111")),TH!D1017,""),"")</f>
        <v/>
      </c>
      <c r="B1017" s="12">
        <f t="shared" si="51"/>
        <v>10</v>
      </c>
      <c r="C1017" s="105">
        <f t="shared" si="49"/>
        <v>42672</v>
      </c>
      <c r="D1017" s="110" t="s">
        <v>1071</v>
      </c>
      <c r="E1017" s="472">
        <v>42672</v>
      </c>
      <c r="F1017" s="161" t="s">
        <v>669</v>
      </c>
      <c r="G1017" s="473" t="s">
        <v>762</v>
      </c>
      <c r="H1017" s="112" t="s">
        <v>1072</v>
      </c>
      <c r="I1017" s="133">
        <v>330</v>
      </c>
      <c r="J1017" s="133">
        <v>6923.8743167628654</v>
      </c>
      <c r="K1017" s="13">
        <f t="shared" si="50"/>
        <v>2284879</v>
      </c>
      <c r="L1017" s="113" t="s">
        <v>161</v>
      </c>
      <c r="M1017" s="113" t="s">
        <v>159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63"/>
    </row>
    <row r="1018" spans="1:26" ht="15.75" hidden="1" customHeight="1">
      <c r="A1018" s="120" t="str">
        <f>IF(B1018&lt;&gt;"",IF(AND(B1018&gt;=_TM1,B1018&lt;=_TM2,OR(TH!L1018="1111",TH!M1018="1111")),TH!D1018,""),"")</f>
        <v/>
      </c>
      <c r="B1018" s="12">
        <f t="shared" si="51"/>
        <v>10</v>
      </c>
      <c r="C1018" s="105">
        <f t="shared" si="49"/>
        <v>42672</v>
      </c>
      <c r="D1018" s="110" t="s">
        <v>1071</v>
      </c>
      <c r="E1018" s="472">
        <v>42672</v>
      </c>
      <c r="F1018" s="161" t="s">
        <v>670</v>
      </c>
      <c r="G1018" s="473" t="s">
        <v>762</v>
      </c>
      <c r="H1018" s="112" t="s">
        <v>1072</v>
      </c>
      <c r="I1018" s="133">
        <v>23</v>
      </c>
      <c r="J1018" s="133">
        <v>8597.7779977385017</v>
      </c>
      <c r="K1018" s="13">
        <f t="shared" si="50"/>
        <v>197749</v>
      </c>
      <c r="L1018" s="113" t="s">
        <v>161</v>
      </c>
      <c r="M1018" s="113" t="s">
        <v>159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63"/>
    </row>
    <row r="1019" spans="1:26" ht="15.75" hidden="1" customHeight="1">
      <c r="A1019" s="120" t="str">
        <f>IF(B1019&lt;&gt;"",IF(AND(B1019&gt;=_TM1,B1019&lt;=_TM2,OR(TH!L1019="1111",TH!M1019="1111")),TH!D1019,""),"")</f>
        <v/>
      </c>
      <c r="B1019" s="12">
        <f t="shared" si="51"/>
        <v>10</v>
      </c>
      <c r="C1019" s="105">
        <f t="shared" si="49"/>
        <v>42672</v>
      </c>
      <c r="D1019" s="110" t="s">
        <v>1071</v>
      </c>
      <c r="E1019" s="472">
        <v>42672</v>
      </c>
      <c r="F1019" s="161" t="s">
        <v>671</v>
      </c>
      <c r="G1019" s="473" t="s">
        <v>762</v>
      </c>
      <c r="H1019" s="112" t="s">
        <v>1072</v>
      </c>
      <c r="I1019" s="133">
        <v>55</v>
      </c>
      <c r="J1019" s="133">
        <v>8217.3453429713136</v>
      </c>
      <c r="K1019" s="13">
        <f t="shared" si="50"/>
        <v>451954</v>
      </c>
      <c r="L1019" s="113" t="s">
        <v>161</v>
      </c>
      <c r="M1019" s="113" t="s">
        <v>159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63"/>
    </row>
    <row r="1020" spans="1:26" ht="15.75" hidden="1" customHeight="1">
      <c r="A1020" s="120" t="str">
        <f>IF(B1020&lt;&gt;"",IF(AND(B1020&gt;=_TM1,B1020&lt;=_TM2,OR(TH!L1020="1111",TH!M1020="1111")),TH!D1020,""),"")</f>
        <v/>
      </c>
      <c r="B1020" s="12">
        <f t="shared" si="51"/>
        <v>10</v>
      </c>
      <c r="C1020" s="105">
        <f t="shared" si="49"/>
        <v>42672</v>
      </c>
      <c r="D1020" s="110" t="s">
        <v>1071</v>
      </c>
      <c r="E1020" s="472">
        <v>42672</v>
      </c>
      <c r="F1020" s="161" t="s">
        <v>672</v>
      </c>
      <c r="G1020" s="473" t="s">
        <v>763</v>
      </c>
      <c r="H1020" s="112" t="s">
        <v>1072</v>
      </c>
      <c r="I1020" s="133">
        <v>210</v>
      </c>
      <c r="J1020" s="133">
        <v>9206.4702453660066</v>
      </c>
      <c r="K1020" s="13">
        <f t="shared" si="50"/>
        <v>1933359</v>
      </c>
      <c r="L1020" s="113" t="s">
        <v>161</v>
      </c>
      <c r="M1020" s="113" t="s">
        <v>159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63"/>
    </row>
    <row r="1021" spans="1:26" ht="15.75" hidden="1" customHeight="1">
      <c r="A1021" s="120" t="str">
        <f>IF(B1021&lt;&gt;"",IF(AND(B1021&gt;=_TM1,B1021&lt;=_TM2,OR(TH!L1021="1111",TH!M1021="1111")),TH!D1021,""),"")</f>
        <v/>
      </c>
      <c r="B1021" s="12">
        <f t="shared" si="51"/>
        <v>10</v>
      </c>
      <c r="C1021" s="105">
        <f t="shared" si="49"/>
        <v>42672</v>
      </c>
      <c r="D1021" s="110" t="s">
        <v>1071</v>
      </c>
      <c r="E1021" s="472">
        <v>42672</v>
      </c>
      <c r="F1021" s="161" t="s">
        <v>673</v>
      </c>
      <c r="G1021" s="473" t="s">
        <v>763</v>
      </c>
      <c r="H1021" s="112" t="s">
        <v>1072</v>
      </c>
      <c r="I1021" s="133">
        <v>160</v>
      </c>
      <c r="J1021" s="133">
        <v>13315.142916851664</v>
      </c>
      <c r="K1021" s="13">
        <f t="shared" si="50"/>
        <v>2130423</v>
      </c>
      <c r="L1021" s="113" t="s">
        <v>161</v>
      </c>
      <c r="M1021" s="113" t="s">
        <v>159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63"/>
    </row>
    <row r="1022" spans="1:26" ht="15.75" hidden="1" customHeight="1">
      <c r="A1022" s="120" t="str">
        <f>IF(B1022&lt;&gt;"",IF(AND(B1022&gt;=_TM1,B1022&lt;=_TM2,OR(TH!L1022="1111",TH!M1022="1111")),TH!D1022,""),"")</f>
        <v/>
      </c>
      <c r="B1022" s="12">
        <f t="shared" si="51"/>
        <v>10</v>
      </c>
      <c r="C1022" s="105">
        <f t="shared" si="49"/>
        <v>42672</v>
      </c>
      <c r="D1022" s="110" t="s">
        <v>1071</v>
      </c>
      <c r="E1022" s="472">
        <v>42672</v>
      </c>
      <c r="F1022" s="161" t="s">
        <v>498</v>
      </c>
      <c r="G1022" s="473" t="s">
        <v>763</v>
      </c>
      <c r="H1022" s="112" t="s">
        <v>1072</v>
      </c>
      <c r="I1022" s="133">
        <v>160</v>
      </c>
      <c r="J1022" s="133">
        <v>9739.075962040075</v>
      </c>
      <c r="K1022" s="13">
        <f t="shared" si="50"/>
        <v>1558252</v>
      </c>
      <c r="L1022" s="113" t="s">
        <v>161</v>
      </c>
      <c r="M1022" s="113" t="s">
        <v>159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63"/>
    </row>
    <row r="1023" spans="1:26" ht="15.75" hidden="1" customHeight="1">
      <c r="A1023" s="120" t="str">
        <f>IF(B1023&lt;&gt;"",IF(AND(B1023&gt;=_TM1,B1023&lt;=_TM2,OR(TH!L1023="1111",TH!M1023="1111")),TH!D1023,""),"")</f>
        <v/>
      </c>
      <c r="B1023" s="12">
        <f t="shared" si="51"/>
        <v>10</v>
      </c>
      <c r="C1023" s="105">
        <f t="shared" si="49"/>
        <v>42672</v>
      </c>
      <c r="D1023" s="110" t="s">
        <v>1071</v>
      </c>
      <c r="E1023" s="472">
        <v>42672</v>
      </c>
      <c r="F1023" s="161" t="s">
        <v>674</v>
      </c>
      <c r="G1023" s="473" t="s">
        <v>763</v>
      </c>
      <c r="H1023" s="112" t="s">
        <v>1072</v>
      </c>
      <c r="I1023" s="133">
        <v>160</v>
      </c>
      <c r="J1023" s="133">
        <v>8217.3453429713136</v>
      </c>
      <c r="K1023" s="13">
        <f t="shared" si="50"/>
        <v>1314775</v>
      </c>
      <c r="L1023" s="113" t="s">
        <v>161</v>
      </c>
      <c r="M1023" s="113" t="s">
        <v>159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63"/>
    </row>
    <row r="1024" spans="1:26" ht="15.75" hidden="1" customHeight="1">
      <c r="A1024" s="120" t="str">
        <f>IF(B1024&lt;&gt;"",IF(AND(B1024&gt;=_TM1,B1024&lt;=_TM2,OR(TH!L1024="1111",TH!M1024="1111")),TH!D1024,""),"")</f>
        <v/>
      </c>
      <c r="B1024" s="12">
        <f t="shared" si="51"/>
        <v>10</v>
      </c>
      <c r="C1024" s="105">
        <f t="shared" ref="C1024:C1087" si="52">E1024</f>
        <v>42672</v>
      </c>
      <c r="D1024" s="110" t="s">
        <v>1071</v>
      </c>
      <c r="E1024" s="472">
        <v>42672</v>
      </c>
      <c r="F1024" s="161" t="s">
        <v>675</v>
      </c>
      <c r="G1024" s="473" t="s">
        <v>763</v>
      </c>
      <c r="H1024" s="112" t="s">
        <v>1072</v>
      </c>
      <c r="I1024" s="133">
        <v>103</v>
      </c>
      <c r="J1024" s="133">
        <v>9510.8163691797599</v>
      </c>
      <c r="K1024" s="13">
        <f t="shared" si="50"/>
        <v>979614</v>
      </c>
      <c r="L1024" s="113" t="s">
        <v>161</v>
      </c>
      <c r="M1024" s="113" t="s">
        <v>159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63"/>
    </row>
    <row r="1025" spans="1:26" ht="15.75" hidden="1" customHeight="1">
      <c r="A1025" s="120" t="str">
        <f>IF(B1025&lt;&gt;"",IF(AND(B1025&gt;=_TM1,B1025&lt;=_TM2,OR(TH!L1025="1111",TH!M1025="1111")),TH!D1025,""),"")</f>
        <v/>
      </c>
      <c r="B1025" s="12">
        <f t="shared" si="51"/>
        <v>10</v>
      </c>
      <c r="C1025" s="105">
        <f t="shared" si="52"/>
        <v>42672</v>
      </c>
      <c r="D1025" s="110" t="s">
        <v>1071</v>
      </c>
      <c r="E1025" s="472">
        <v>42672</v>
      </c>
      <c r="F1025" s="161" t="s">
        <v>676</v>
      </c>
      <c r="G1025" s="473" t="s">
        <v>763</v>
      </c>
      <c r="H1025" s="112" t="s">
        <v>1072</v>
      </c>
      <c r="I1025" s="133">
        <v>7</v>
      </c>
      <c r="J1025" s="133">
        <v>10423.854740621018</v>
      </c>
      <c r="K1025" s="13">
        <f t="shared" si="50"/>
        <v>72967</v>
      </c>
      <c r="L1025" s="113" t="s">
        <v>161</v>
      </c>
      <c r="M1025" s="113" t="s">
        <v>159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63"/>
    </row>
    <row r="1026" spans="1:26" ht="15.75" hidden="1" customHeight="1">
      <c r="A1026" s="120" t="str">
        <f>IF(B1026&lt;&gt;"",IF(AND(B1026&gt;=_TM1,B1026&lt;=_TM2,OR(TH!L1026="1111",TH!M1026="1111")),TH!D1026,""),"")</f>
        <v/>
      </c>
      <c r="B1026" s="12">
        <f t="shared" si="51"/>
        <v>10</v>
      </c>
      <c r="C1026" s="105">
        <f t="shared" si="52"/>
        <v>42672</v>
      </c>
      <c r="D1026" s="110" t="s">
        <v>1071</v>
      </c>
      <c r="E1026" s="472">
        <v>42672</v>
      </c>
      <c r="F1026" s="161" t="s">
        <v>677</v>
      </c>
      <c r="G1026" s="473" t="s">
        <v>763</v>
      </c>
      <c r="H1026" s="112" t="s">
        <v>1072</v>
      </c>
      <c r="I1026" s="133">
        <v>105</v>
      </c>
      <c r="J1026" s="133">
        <v>7989.0857501109986</v>
      </c>
      <c r="K1026" s="13">
        <f t="shared" si="50"/>
        <v>838854</v>
      </c>
      <c r="L1026" s="113" t="s">
        <v>161</v>
      </c>
      <c r="M1026" s="113" t="s">
        <v>159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63"/>
    </row>
    <row r="1027" spans="1:26" ht="15.75" hidden="1" customHeight="1">
      <c r="A1027" s="120" t="str">
        <f>IF(B1027&lt;&gt;"",IF(AND(B1027&gt;=_TM1,B1027&lt;=_TM2,OR(TH!L1027="1111",TH!M1027="1111")),TH!D1027,""),"")</f>
        <v/>
      </c>
      <c r="B1027" s="12">
        <f t="shared" si="51"/>
        <v>10</v>
      </c>
      <c r="C1027" s="105">
        <f t="shared" si="52"/>
        <v>42672</v>
      </c>
      <c r="D1027" s="110" t="s">
        <v>1071</v>
      </c>
      <c r="E1027" s="472">
        <v>42672</v>
      </c>
      <c r="F1027" s="161" t="s">
        <v>678</v>
      </c>
      <c r="G1027" s="473" t="s">
        <v>763</v>
      </c>
      <c r="H1027" s="112" t="s">
        <v>1072</v>
      </c>
      <c r="I1027" s="133">
        <v>110</v>
      </c>
      <c r="J1027" s="133">
        <v>8597.7779977385017</v>
      </c>
      <c r="K1027" s="13">
        <f t="shared" si="50"/>
        <v>945756</v>
      </c>
      <c r="L1027" s="113" t="s">
        <v>161</v>
      </c>
      <c r="M1027" s="113" t="s">
        <v>159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63"/>
    </row>
    <row r="1028" spans="1:26" ht="15.75" hidden="1" customHeight="1">
      <c r="A1028" s="120" t="str">
        <f>IF(B1028&lt;&gt;"",IF(AND(B1028&gt;=_TM1,B1028&lt;=_TM2,OR(TH!L1028="1111",TH!M1028="1111")),TH!D1028,""),"")</f>
        <v/>
      </c>
      <c r="B1028" s="12">
        <f t="shared" si="51"/>
        <v>11</v>
      </c>
      <c r="C1028" s="105">
        <f t="shared" si="52"/>
        <v>42682</v>
      </c>
      <c r="D1028" s="110" t="s">
        <v>1071</v>
      </c>
      <c r="E1028" s="472">
        <v>42682</v>
      </c>
      <c r="F1028" s="161" t="s">
        <v>500</v>
      </c>
      <c r="G1028" s="473" t="s">
        <v>764</v>
      </c>
      <c r="H1028" s="112" t="s">
        <v>1072</v>
      </c>
      <c r="I1028" s="134">
        <v>300</v>
      </c>
      <c r="J1028" s="134">
        <v>8673.86452869194</v>
      </c>
      <c r="K1028" s="13">
        <f t="shared" si="50"/>
        <v>2602159</v>
      </c>
      <c r="L1028" s="113" t="s">
        <v>161</v>
      </c>
      <c r="M1028" s="113" t="s">
        <v>159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63"/>
    </row>
    <row r="1029" spans="1:26" ht="15.75" hidden="1" customHeight="1">
      <c r="A1029" s="120" t="str">
        <f>IF(B1029&lt;&gt;"",IF(AND(B1029&gt;=_TM1,B1029&lt;=_TM2,OR(TH!L1029="1111",TH!M1029="1111")),TH!D1029,""),"")</f>
        <v/>
      </c>
      <c r="B1029" s="12">
        <f t="shared" si="51"/>
        <v>11</v>
      </c>
      <c r="C1029" s="105">
        <f t="shared" si="52"/>
        <v>42682</v>
      </c>
      <c r="D1029" s="110" t="s">
        <v>1071</v>
      </c>
      <c r="E1029" s="472">
        <v>42682</v>
      </c>
      <c r="F1029" s="161" t="s">
        <v>500</v>
      </c>
      <c r="G1029" s="473" t="s">
        <v>764</v>
      </c>
      <c r="H1029" s="112" t="s">
        <v>1072</v>
      </c>
      <c r="I1029" s="133">
        <v>2000</v>
      </c>
      <c r="J1029" s="133">
        <v>8673.86452869194</v>
      </c>
      <c r="K1029" s="13">
        <f t="shared" si="50"/>
        <v>17347729</v>
      </c>
      <c r="L1029" s="113" t="s">
        <v>161</v>
      </c>
      <c r="M1029" s="113" t="s">
        <v>159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63"/>
    </row>
    <row r="1030" spans="1:26" ht="15.75" hidden="1" customHeight="1">
      <c r="A1030" s="120" t="str">
        <f>IF(B1030&lt;&gt;"",IF(AND(B1030&gt;=_TM1,B1030&lt;=_TM2,OR(TH!L1030="1111",TH!M1030="1111")),TH!D1030,""),"")</f>
        <v/>
      </c>
      <c r="B1030" s="12">
        <f t="shared" si="51"/>
        <v>11</v>
      </c>
      <c r="C1030" s="105">
        <f t="shared" si="52"/>
        <v>42682</v>
      </c>
      <c r="D1030" s="110" t="s">
        <v>1071</v>
      </c>
      <c r="E1030" s="472">
        <v>42682</v>
      </c>
      <c r="F1030" s="161" t="s">
        <v>679</v>
      </c>
      <c r="G1030" s="473" t="s">
        <v>764</v>
      </c>
      <c r="H1030" s="112" t="s">
        <v>1072</v>
      </c>
      <c r="I1030" s="133">
        <v>4600</v>
      </c>
      <c r="J1030" s="133">
        <v>684.77877858094269</v>
      </c>
      <c r="K1030" s="13">
        <f t="shared" si="50"/>
        <v>3149982</v>
      </c>
      <c r="L1030" s="113" t="s">
        <v>161</v>
      </c>
      <c r="M1030" s="113" t="s">
        <v>159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63"/>
    </row>
    <row r="1031" spans="1:26" ht="15.75" hidden="1" customHeight="1">
      <c r="A1031" s="120" t="str">
        <f>IF(B1031&lt;&gt;"",IF(AND(B1031&gt;=_TM1,B1031&lt;=_TM2,OR(TH!L1031="1111",TH!M1031="1111")),TH!D1031,""),"")</f>
        <v/>
      </c>
      <c r="B1031" s="12">
        <f t="shared" si="51"/>
        <v>11</v>
      </c>
      <c r="C1031" s="105">
        <f t="shared" si="52"/>
        <v>42682</v>
      </c>
      <c r="D1031" s="110" t="s">
        <v>1071</v>
      </c>
      <c r="E1031" s="472">
        <v>42682</v>
      </c>
      <c r="F1031" s="161" t="s">
        <v>680</v>
      </c>
      <c r="G1031" s="473" t="s">
        <v>765</v>
      </c>
      <c r="H1031" s="112" t="s">
        <v>1072</v>
      </c>
      <c r="I1031" s="133">
        <v>6030</v>
      </c>
      <c r="J1031" s="133">
        <v>10119.508616807265</v>
      </c>
      <c r="K1031" s="13">
        <f t="shared" si="50"/>
        <v>61020637</v>
      </c>
      <c r="L1031" s="113" t="s">
        <v>161</v>
      </c>
      <c r="M1031" s="113" t="s">
        <v>159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63"/>
    </row>
    <row r="1032" spans="1:26" ht="15.75" hidden="1" customHeight="1">
      <c r="A1032" s="120" t="str">
        <f>IF(B1032&lt;&gt;"",IF(AND(B1032&gt;=_TM1,B1032&lt;=_TM2,OR(TH!L1032="1111",TH!M1032="1111")),TH!D1032,""),"")</f>
        <v/>
      </c>
      <c r="B1032" s="12">
        <f t="shared" si="51"/>
        <v>11</v>
      </c>
      <c r="C1032" s="105">
        <f t="shared" si="52"/>
        <v>42683</v>
      </c>
      <c r="D1032" s="110" t="s">
        <v>1071</v>
      </c>
      <c r="E1032" s="472">
        <v>42683</v>
      </c>
      <c r="F1032" s="161" t="s">
        <v>690</v>
      </c>
      <c r="G1032" s="473" t="s">
        <v>766</v>
      </c>
      <c r="H1032" s="112" t="s">
        <v>1072</v>
      </c>
      <c r="I1032" s="133">
        <v>318</v>
      </c>
      <c r="J1032" s="133">
        <v>6391.2686000887979</v>
      </c>
      <c r="K1032" s="13">
        <f t="shared" si="50"/>
        <v>2032423</v>
      </c>
      <c r="L1032" s="113" t="s">
        <v>161</v>
      </c>
      <c r="M1032" s="113" t="s">
        <v>159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63"/>
    </row>
    <row r="1033" spans="1:26" ht="15.75" hidden="1" customHeight="1">
      <c r="A1033" s="120" t="str">
        <f>IF(B1033&lt;&gt;"",IF(AND(B1033&gt;=_TM1,B1033&lt;=_TM2,OR(TH!L1033="1111",TH!M1033="1111")),TH!D1033,""),"")</f>
        <v/>
      </c>
      <c r="B1033" s="12">
        <f t="shared" si="51"/>
        <v>11</v>
      </c>
      <c r="C1033" s="105">
        <f t="shared" si="52"/>
        <v>42683</v>
      </c>
      <c r="D1033" s="110" t="s">
        <v>1071</v>
      </c>
      <c r="E1033" s="472">
        <v>42683</v>
      </c>
      <c r="F1033" s="161" t="s">
        <v>538</v>
      </c>
      <c r="G1033" s="473" t="s">
        <v>766</v>
      </c>
      <c r="H1033" s="112" t="s">
        <v>1072</v>
      </c>
      <c r="I1033" s="134">
        <v>520</v>
      </c>
      <c r="J1033" s="133">
        <v>7380.3935024834936</v>
      </c>
      <c r="K1033" s="13">
        <f t="shared" si="50"/>
        <v>3837805</v>
      </c>
      <c r="L1033" s="113" t="s">
        <v>161</v>
      </c>
      <c r="M1033" s="113" t="s">
        <v>159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63"/>
    </row>
    <row r="1034" spans="1:26" ht="15.75" hidden="1" customHeight="1">
      <c r="A1034" s="120" t="str">
        <f>IF(B1034&lt;&gt;"",IF(AND(B1034&gt;=_TM1,B1034&lt;=_TM2,OR(TH!L1034="1111",TH!M1034="1111")),TH!D1034,""),"")</f>
        <v/>
      </c>
      <c r="B1034" s="12">
        <f t="shared" si="51"/>
        <v>11</v>
      </c>
      <c r="C1034" s="105">
        <f t="shared" si="52"/>
        <v>42683</v>
      </c>
      <c r="D1034" s="110" t="s">
        <v>1071</v>
      </c>
      <c r="E1034" s="472">
        <v>42683</v>
      </c>
      <c r="F1034" s="161" t="s">
        <v>811</v>
      </c>
      <c r="G1034" s="473" t="s">
        <v>809</v>
      </c>
      <c r="H1034" s="112" t="s">
        <v>1072</v>
      </c>
      <c r="I1034" s="133">
        <v>4000</v>
      </c>
      <c r="J1034" s="133">
        <v>6391.2686000887979</v>
      </c>
      <c r="K1034" s="13">
        <f t="shared" si="50"/>
        <v>25565074</v>
      </c>
      <c r="L1034" s="113" t="s">
        <v>161</v>
      </c>
      <c r="M1034" s="113" t="s">
        <v>159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63"/>
    </row>
    <row r="1035" spans="1:26" ht="15.75" hidden="1" customHeight="1">
      <c r="A1035" s="120" t="str">
        <f>IF(B1035&lt;&gt;"",IF(AND(B1035&gt;=_TM1,B1035&lt;=_TM2,OR(TH!L1035="1111",TH!M1035="1111")),TH!D1035,""),"")</f>
        <v/>
      </c>
      <c r="B1035" s="12">
        <f t="shared" si="51"/>
        <v>11</v>
      </c>
      <c r="C1035" s="105">
        <f t="shared" si="52"/>
        <v>42684</v>
      </c>
      <c r="D1035" s="110" t="s">
        <v>1071</v>
      </c>
      <c r="E1035" s="472">
        <v>42684</v>
      </c>
      <c r="F1035" s="161" t="s">
        <v>811</v>
      </c>
      <c r="G1035" s="473" t="s">
        <v>810</v>
      </c>
      <c r="H1035" s="112" t="s">
        <v>1072</v>
      </c>
      <c r="I1035" s="133">
        <v>4000</v>
      </c>
      <c r="J1035" s="133">
        <v>6391.2686000887979</v>
      </c>
      <c r="K1035" s="13">
        <f t="shared" si="50"/>
        <v>25565074</v>
      </c>
      <c r="L1035" s="113" t="s">
        <v>161</v>
      </c>
      <c r="M1035" s="113" t="s">
        <v>159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63"/>
    </row>
    <row r="1036" spans="1:26" ht="15.75" hidden="1" customHeight="1">
      <c r="A1036" s="120" t="str">
        <f>IF(B1036&lt;&gt;"",IF(AND(B1036&gt;=_TM1,B1036&lt;=_TM2,OR(TH!L1036="1111",TH!M1036="1111")),TH!D1036,""),"")</f>
        <v/>
      </c>
      <c r="B1036" s="12">
        <f t="shared" si="51"/>
        <v>11</v>
      </c>
      <c r="C1036" s="105">
        <f t="shared" si="52"/>
        <v>42693</v>
      </c>
      <c r="D1036" s="110" t="s">
        <v>1071</v>
      </c>
      <c r="E1036" s="472">
        <v>42693</v>
      </c>
      <c r="F1036" s="161" t="s">
        <v>683</v>
      </c>
      <c r="G1036" s="473" t="s">
        <v>767</v>
      </c>
      <c r="H1036" s="112" t="s">
        <v>1072</v>
      </c>
      <c r="I1036" s="133">
        <v>23</v>
      </c>
      <c r="J1036" s="133">
        <v>14989.046597827301</v>
      </c>
      <c r="K1036" s="13">
        <f t="shared" si="50"/>
        <v>344748</v>
      </c>
      <c r="L1036" s="113" t="s">
        <v>161</v>
      </c>
      <c r="M1036" s="113" t="s">
        <v>159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63"/>
    </row>
    <row r="1037" spans="1:26" ht="15.75" hidden="1" customHeight="1">
      <c r="A1037" s="120" t="str">
        <f>IF(B1037&lt;&gt;"",IF(AND(B1037&gt;=_TM1,B1037&lt;=_TM2,OR(TH!L1037="1111",TH!M1037="1111")),TH!D1037,""),"")</f>
        <v/>
      </c>
      <c r="B1037" s="12">
        <f t="shared" si="51"/>
        <v>11</v>
      </c>
      <c r="C1037" s="105">
        <f t="shared" si="52"/>
        <v>42693</v>
      </c>
      <c r="D1037" s="110" t="s">
        <v>1071</v>
      </c>
      <c r="E1037" s="472">
        <v>42693</v>
      </c>
      <c r="F1037" s="161" t="s">
        <v>496</v>
      </c>
      <c r="G1037" s="473" t="s">
        <v>767</v>
      </c>
      <c r="H1037" s="112" t="s">
        <v>1072</v>
      </c>
      <c r="I1037" s="133">
        <v>63</v>
      </c>
      <c r="J1037" s="133">
        <v>57521.417400799182</v>
      </c>
      <c r="K1037" s="13">
        <f t="shared" si="50"/>
        <v>3623849</v>
      </c>
      <c r="L1037" s="113" t="s">
        <v>161</v>
      </c>
      <c r="M1037" s="113" t="s">
        <v>159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63"/>
    </row>
    <row r="1038" spans="1:26" ht="15.75" hidden="1" customHeight="1">
      <c r="A1038" s="120" t="str">
        <f>IF(B1038&lt;&gt;"",IF(AND(B1038&gt;=_TM1,B1038&lt;=_TM2,OR(TH!L1038="1111",TH!M1038="1111")),TH!D1038,""),"")</f>
        <v/>
      </c>
      <c r="B1038" s="542">
        <f t="shared" si="51"/>
        <v>11</v>
      </c>
      <c r="C1038" s="105">
        <f t="shared" si="52"/>
        <v>42693</v>
      </c>
      <c r="D1038" s="110" t="s">
        <v>1071</v>
      </c>
      <c r="E1038" s="472">
        <v>42693</v>
      </c>
      <c r="F1038" s="161" t="s">
        <v>684</v>
      </c>
      <c r="G1038" s="473" t="s">
        <v>767</v>
      </c>
      <c r="H1038" s="112" t="s">
        <v>1072</v>
      </c>
      <c r="I1038" s="133">
        <v>27</v>
      </c>
      <c r="J1038" s="133">
        <v>27695.497267051462</v>
      </c>
      <c r="K1038" s="13">
        <f t="shared" si="50"/>
        <v>747778</v>
      </c>
      <c r="L1038" s="113" t="s">
        <v>161</v>
      </c>
      <c r="M1038" s="113" t="s">
        <v>159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63"/>
    </row>
    <row r="1039" spans="1:26" ht="15.75" hidden="1" customHeight="1">
      <c r="A1039" s="120" t="str">
        <f>IF(B1039&lt;&gt;"",IF(AND(B1039&gt;=_TM1,B1039&lt;=_TM2,OR(TH!L1039="1111",TH!M1039="1111")),TH!D1039,""),"")</f>
        <v/>
      </c>
      <c r="B1039" s="12">
        <f t="shared" si="51"/>
        <v>11</v>
      </c>
      <c r="C1039" s="105">
        <f t="shared" si="52"/>
        <v>42693</v>
      </c>
      <c r="D1039" s="110" t="s">
        <v>1071</v>
      </c>
      <c r="E1039" s="472">
        <v>42693</v>
      </c>
      <c r="F1039" s="161" t="s">
        <v>685</v>
      </c>
      <c r="G1039" s="473" t="s">
        <v>767</v>
      </c>
      <c r="H1039" s="112" t="s">
        <v>1072</v>
      </c>
      <c r="I1039" s="133">
        <v>27</v>
      </c>
      <c r="J1039" s="133">
        <v>25184.641745588004</v>
      </c>
      <c r="K1039" s="13">
        <f t="shared" si="50"/>
        <v>679985</v>
      </c>
      <c r="L1039" s="113" t="s">
        <v>161</v>
      </c>
      <c r="M1039" s="113" t="s">
        <v>159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63"/>
    </row>
    <row r="1040" spans="1:26" ht="15.75" hidden="1" customHeight="1">
      <c r="A1040" s="120" t="str">
        <f>IF(B1040&lt;&gt;"",IF(AND(B1040&gt;=_TM1,B1040&lt;=_TM2,OR(TH!L1040="1111",TH!M1040="1111")),TH!D1040,""),"")</f>
        <v/>
      </c>
      <c r="B1040" s="12">
        <f t="shared" si="51"/>
        <v>11</v>
      </c>
      <c r="C1040" s="105">
        <f t="shared" si="52"/>
        <v>42693</v>
      </c>
      <c r="D1040" s="110" t="s">
        <v>1071</v>
      </c>
      <c r="E1040" s="472">
        <v>42693</v>
      </c>
      <c r="F1040" s="161" t="s">
        <v>686</v>
      </c>
      <c r="G1040" s="473" t="s">
        <v>767</v>
      </c>
      <c r="H1040" s="112" t="s">
        <v>1072</v>
      </c>
      <c r="I1040" s="133">
        <v>26</v>
      </c>
      <c r="J1040" s="133">
        <v>35836.756079069331</v>
      </c>
      <c r="K1040" s="13">
        <f t="shared" si="50"/>
        <v>931756</v>
      </c>
      <c r="L1040" s="113" t="s">
        <v>161</v>
      </c>
      <c r="M1040" s="113" t="s">
        <v>159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63"/>
    </row>
    <row r="1041" spans="1:26" ht="15.75" hidden="1" customHeight="1">
      <c r="A1041" s="120" t="str">
        <f>IF(B1041&lt;&gt;"",IF(AND(B1041&gt;=_TM1,B1041&lt;=_TM2,OR(TH!L1041="1111",TH!M1041="1111")),TH!D1041,""),"")</f>
        <v/>
      </c>
      <c r="B1041" s="12">
        <f t="shared" si="51"/>
        <v>11</v>
      </c>
      <c r="C1041" s="105">
        <f t="shared" si="52"/>
        <v>42693</v>
      </c>
      <c r="D1041" s="110" t="s">
        <v>1071</v>
      </c>
      <c r="E1041" s="472">
        <v>42693</v>
      </c>
      <c r="F1041" s="161" t="s">
        <v>687</v>
      </c>
      <c r="G1041" s="473" t="s">
        <v>767</v>
      </c>
      <c r="H1041" s="112" t="s">
        <v>1072</v>
      </c>
      <c r="I1041" s="133">
        <v>21</v>
      </c>
      <c r="J1041" s="133">
        <v>21836.834383636728</v>
      </c>
      <c r="K1041" s="13">
        <f t="shared" si="50"/>
        <v>458574</v>
      </c>
      <c r="L1041" s="113" t="s">
        <v>161</v>
      </c>
      <c r="M1041" s="113" t="s">
        <v>159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63"/>
    </row>
    <row r="1042" spans="1:26" ht="15.75" hidden="1" customHeight="1">
      <c r="A1042" s="120" t="str">
        <f>IF(B1042&lt;&gt;"",IF(AND(B1042&gt;=_TM1,B1042&lt;=_TM2,OR(TH!L1042="1111",TH!M1042="1111")),TH!D1042,""),"")</f>
        <v/>
      </c>
      <c r="B1042" s="12">
        <f t="shared" si="51"/>
        <v>11</v>
      </c>
      <c r="C1042" s="105">
        <f t="shared" si="52"/>
        <v>42694</v>
      </c>
      <c r="D1042" s="110" t="s">
        <v>1071</v>
      </c>
      <c r="E1042" s="472">
        <v>42694</v>
      </c>
      <c r="F1042" s="161" t="s">
        <v>957</v>
      </c>
      <c r="G1042" s="473" t="s">
        <v>436</v>
      </c>
      <c r="H1042" s="112" t="s">
        <v>1072</v>
      </c>
      <c r="I1042" s="133">
        <v>1560</v>
      </c>
      <c r="J1042" s="133">
        <v>9586.9029001331983</v>
      </c>
      <c r="K1042" s="13">
        <f t="shared" si="50"/>
        <v>14955569</v>
      </c>
      <c r="L1042" s="113" t="s">
        <v>161</v>
      </c>
      <c r="M1042" s="113" t="s">
        <v>159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63"/>
    </row>
    <row r="1043" spans="1:26" ht="15.75" hidden="1" customHeight="1">
      <c r="A1043" s="120" t="str">
        <f>IF(B1043&lt;&gt;"",IF(AND(B1043&gt;=_TM1,B1043&lt;=_TM2,OR(TH!L1043="1111",TH!M1043="1111")),TH!D1043,""),"")</f>
        <v/>
      </c>
      <c r="B1043" s="12">
        <f t="shared" si="51"/>
        <v>11</v>
      </c>
      <c r="C1043" s="105">
        <f t="shared" si="52"/>
        <v>42693</v>
      </c>
      <c r="D1043" s="110" t="s">
        <v>1071</v>
      </c>
      <c r="E1043" s="472">
        <v>42693</v>
      </c>
      <c r="F1043" s="161" t="s">
        <v>811</v>
      </c>
      <c r="G1043" s="473" t="s">
        <v>813</v>
      </c>
      <c r="H1043" s="112" t="s">
        <v>1072</v>
      </c>
      <c r="I1043" s="133">
        <v>4000</v>
      </c>
      <c r="J1043" s="133">
        <v>6391.2686000887979</v>
      </c>
      <c r="K1043" s="13">
        <f t="shared" si="50"/>
        <v>25565074</v>
      </c>
      <c r="L1043" s="113" t="s">
        <v>161</v>
      </c>
      <c r="M1043" s="113" t="s">
        <v>159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63"/>
    </row>
    <row r="1044" spans="1:26" ht="15.75" hidden="1" customHeight="1">
      <c r="A1044" s="120" t="str">
        <f>IF(B1044&lt;&gt;"",IF(AND(B1044&gt;=_TM1,B1044&lt;=_TM2,OR(TH!L1044="1111",TH!M1044="1111")),TH!D1044,""),"")</f>
        <v/>
      </c>
      <c r="B1044" s="12">
        <f t="shared" si="51"/>
        <v>11</v>
      </c>
      <c r="C1044" s="105">
        <f t="shared" si="52"/>
        <v>42696</v>
      </c>
      <c r="D1044" s="110" t="s">
        <v>1071</v>
      </c>
      <c r="E1044" s="472">
        <v>42696</v>
      </c>
      <c r="F1044" s="161" t="s">
        <v>682</v>
      </c>
      <c r="G1044" s="473" t="s">
        <v>768</v>
      </c>
      <c r="H1044" s="112" t="s">
        <v>1072</v>
      </c>
      <c r="I1044" s="133">
        <v>608</v>
      </c>
      <c r="J1044" s="133">
        <v>11489.06617396915</v>
      </c>
      <c r="K1044" s="13">
        <f t="shared" si="50"/>
        <v>6985352</v>
      </c>
      <c r="L1044" s="113" t="s">
        <v>161</v>
      </c>
      <c r="M1044" s="113" t="s">
        <v>159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63"/>
    </row>
    <row r="1045" spans="1:26" ht="15.75" hidden="1" customHeight="1">
      <c r="A1045" s="120" t="str">
        <f>IF(B1045&lt;&gt;"",IF(AND(B1045&gt;=_TM1,B1045&lt;=_TM2,OR(TH!L1045="1111",TH!M1045="1111")),TH!D1045,""),"")</f>
        <v/>
      </c>
      <c r="B1045" s="12">
        <f t="shared" si="51"/>
        <v>11</v>
      </c>
      <c r="C1045" s="105">
        <f t="shared" si="52"/>
        <v>42697</v>
      </c>
      <c r="D1045" s="110" t="s">
        <v>1071</v>
      </c>
      <c r="E1045" s="472">
        <v>42697</v>
      </c>
      <c r="F1045" s="161" t="s">
        <v>811</v>
      </c>
      <c r="G1045" s="473" t="s">
        <v>814</v>
      </c>
      <c r="H1045" s="112" t="s">
        <v>1072</v>
      </c>
      <c r="I1045" s="133">
        <v>3353</v>
      </c>
      <c r="J1045" s="133">
        <v>6391.2686000887979</v>
      </c>
      <c r="K1045" s="13">
        <f t="shared" si="50"/>
        <v>21429924</v>
      </c>
      <c r="L1045" s="113" t="s">
        <v>161</v>
      </c>
      <c r="M1045" s="113" t="s">
        <v>159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63"/>
    </row>
    <row r="1046" spans="1:26" ht="15.75" hidden="1" customHeight="1">
      <c r="A1046" s="120" t="str">
        <f>IF(B1046&lt;&gt;"",IF(AND(B1046&gt;=_TM1,B1046&lt;=_TM2,OR(TH!L1046="1111",TH!M1046="1111")),TH!D1046,""),"")</f>
        <v/>
      </c>
      <c r="B1046" s="12">
        <f t="shared" si="51"/>
        <v>11</v>
      </c>
      <c r="C1046" s="105">
        <f t="shared" si="52"/>
        <v>42703</v>
      </c>
      <c r="D1046" s="110" t="s">
        <v>1071</v>
      </c>
      <c r="E1046" s="472">
        <v>42703</v>
      </c>
      <c r="F1046" s="161" t="s">
        <v>689</v>
      </c>
      <c r="G1046" s="473" t="s">
        <v>769</v>
      </c>
      <c r="H1046" s="112" t="s">
        <v>1072</v>
      </c>
      <c r="I1046" s="134">
        <v>1020</v>
      </c>
      <c r="J1046" s="133">
        <v>5173.8841048337899</v>
      </c>
      <c r="K1046" s="13">
        <f t="shared" si="50"/>
        <v>5277362</v>
      </c>
      <c r="L1046" s="113" t="s">
        <v>161</v>
      </c>
      <c r="M1046" s="113" t="s">
        <v>159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63"/>
    </row>
    <row r="1047" spans="1:26" ht="15.75" hidden="1" customHeight="1">
      <c r="A1047" s="120" t="str">
        <f>IF(B1047&lt;&gt;"",IF(AND(B1047&gt;=_TM1,B1047&lt;=_TM2,OR(TH!L1047="1111",TH!M1047="1111")),TH!D1047,""),"")</f>
        <v/>
      </c>
      <c r="B1047" s="12">
        <f t="shared" si="51"/>
        <v>11</v>
      </c>
      <c r="C1047" s="105">
        <f t="shared" si="52"/>
        <v>42703</v>
      </c>
      <c r="D1047" s="110" t="s">
        <v>1071</v>
      </c>
      <c r="E1047" s="472">
        <v>42703</v>
      </c>
      <c r="F1047" s="161" t="s">
        <v>691</v>
      </c>
      <c r="G1047" s="473" t="s">
        <v>770</v>
      </c>
      <c r="H1047" s="112" t="s">
        <v>1072</v>
      </c>
      <c r="I1047" s="134">
        <v>25</v>
      </c>
      <c r="J1047" s="133">
        <v>72282.20440576617</v>
      </c>
      <c r="K1047" s="13">
        <f t="shared" si="50"/>
        <v>1807055</v>
      </c>
      <c r="L1047" s="113" t="s">
        <v>161</v>
      </c>
      <c r="M1047" s="113" t="s">
        <v>159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63"/>
    </row>
    <row r="1048" spans="1:26" ht="15.75" hidden="1" customHeight="1">
      <c r="A1048" s="120" t="str">
        <f>IF(B1048&lt;&gt;"",IF(AND(B1048&gt;=_TM1,B1048&lt;=_TM2,OR(TH!L1048="1111",TH!M1048="1111")),TH!D1048,""),"")</f>
        <v/>
      </c>
      <c r="B1048" s="12">
        <f t="shared" si="51"/>
        <v>11</v>
      </c>
      <c r="C1048" s="105">
        <f t="shared" si="52"/>
        <v>42703</v>
      </c>
      <c r="D1048" s="110" t="s">
        <v>1071</v>
      </c>
      <c r="E1048" s="472">
        <v>42703</v>
      </c>
      <c r="F1048" s="161" t="s">
        <v>692</v>
      </c>
      <c r="G1048" s="473" t="s">
        <v>770</v>
      </c>
      <c r="H1048" s="112" t="s">
        <v>1072</v>
      </c>
      <c r="I1048" s="134">
        <v>5</v>
      </c>
      <c r="J1048" s="133">
        <v>58510.542303193884</v>
      </c>
      <c r="K1048" s="13">
        <f t="shared" si="50"/>
        <v>292553</v>
      </c>
      <c r="L1048" s="113" t="s">
        <v>161</v>
      </c>
      <c r="M1048" s="113" t="s">
        <v>159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63"/>
    </row>
    <row r="1049" spans="1:26" ht="15.75" hidden="1" customHeight="1">
      <c r="A1049" s="120" t="str">
        <f>IF(B1049&lt;&gt;"",IF(AND(B1049&gt;=_TM1,B1049&lt;=_TM2,OR(TH!L1049="1111",TH!M1049="1111")),TH!D1049,""),"")</f>
        <v/>
      </c>
      <c r="B1049" s="12">
        <f t="shared" si="51"/>
        <v>11</v>
      </c>
      <c r="C1049" s="105">
        <f t="shared" si="52"/>
        <v>42703</v>
      </c>
      <c r="D1049" s="110" t="s">
        <v>1071</v>
      </c>
      <c r="E1049" s="472">
        <v>42703</v>
      </c>
      <c r="F1049" s="161" t="s">
        <v>693</v>
      </c>
      <c r="G1049" s="473" t="s">
        <v>770</v>
      </c>
      <c r="H1049" s="112" t="s">
        <v>1072</v>
      </c>
      <c r="I1049" s="134">
        <v>100</v>
      </c>
      <c r="J1049" s="133">
        <v>43825.841829180332</v>
      </c>
      <c r="K1049" s="13">
        <f t="shared" si="50"/>
        <v>4382584</v>
      </c>
      <c r="L1049" s="113" t="s">
        <v>161</v>
      </c>
      <c r="M1049" s="113" t="s">
        <v>159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63"/>
    </row>
    <row r="1050" spans="1:26" ht="15.75" hidden="1" customHeight="1">
      <c r="A1050" s="120" t="str">
        <f>IF(B1050&lt;&gt;"",IF(AND(B1050&gt;=_TM1,B1050&lt;=_TM2,OR(TH!L1050="1111",TH!M1050="1111")),TH!D1050,""),"")</f>
        <v/>
      </c>
      <c r="B1050" s="12">
        <f t="shared" si="51"/>
        <v>11</v>
      </c>
      <c r="C1050" s="105">
        <f t="shared" si="52"/>
        <v>42703</v>
      </c>
      <c r="D1050" s="110" t="s">
        <v>1071</v>
      </c>
      <c r="E1050" s="472">
        <v>42703</v>
      </c>
      <c r="F1050" s="161" t="s">
        <v>694</v>
      </c>
      <c r="G1050" s="473" t="s">
        <v>770</v>
      </c>
      <c r="H1050" s="112" t="s">
        <v>1072</v>
      </c>
      <c r="I1050" s="133">
        <v>12</v>
      </c>
      <c r="J1050" s="133">
        <v>85216.914667850637</v>
      </c>
      <c r="K1050" s="13">
        <f t="shared" si="50"/>
        <v>1022603</v>
      </c>
      <c r="L1050" s="113" t="s">
        <v>161</v>
      </c>
      <c r="M1050" s="113" t="s">
        <v>159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63"/>
    </row>
    <row r="1051" spans="1:26" ht="15.75" hidden="1" customHeight="1">
      <c r="A1051" s="120" t="str">
        <f>IF(B1051&lt;&gt;"",IF(AND(B1051&gt;=_TM1,B1051&lt;=_TM2,OR(TH!L1051="1111",TH!M1051="1111")),TH!D1051,""),"")</f>
        <v/>
      </c>
      <c r="B1051" s="12">
        <f t="shared" si="51"/>
        <v>12</v>
      </c>
      <c r="C1051" s="105">
        <f t="shared" si="52"/>
        <v>42705</v>
      </c>
      <c r="D1051" s="110" t="s">
        <v>1071</v>
      </c>
      <c r="E1051" s="472">
        <v>42705</v>
      </c>
      <c r="F1051" s="161" t="s">
        <v>811</v>
      </c>
      <c r="G1051" s="473" t="s">
        <v>774</v>
      </c>
      <c r="H1051" s="112" t="s">
        <v>1072</v>
      </c>
      <c r="I1051" s="133">
        <v>2400</v>
      </c>
      <c r="J1051" s="133">
        <v>6391.2686000887979</v>
      </c>
      <c r="K1051" s="13">
        <f t="shared" si="50"/>
        <v>15339045</v>
      </c>
      <c r="L1051" s="113" t="s">
        <v>161</v>
      </c>
      <c r="M1051" s="113" t="s">
        <v>159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63"/>
    </row>
    <row r="1052" spans="1:26" ht="15.75" hidden="1" customHeight="1">
      <c r="A1052" s="120" t="str">
        <f>IF(B1052&lt;&gt;"",IF(AND(B1052&gt;=_TM1,B1052&lt;=_TM2,OR(TH!L1052="1111",TH!M1052="1111")),TH!D1052,""),"")</f>
        <v/>
      </c>
      <c r="B1052" s="12">
        <f t="shared" si="51"/>
        <v>12</v>
      </c>
      <c r="C1052" s="105">
        <f t="shared" si="52"/>
        <v>42706</v>
      </c>
      <c r="D1052" s="110" t="s">
        <v>1071</v>
      </c>
      <c r="E1052" s="472">
        <v>42706</v>
      </c>
      <c r="F1052" s="161" t="s">
        <v>811</v>
      </c>
      <c r="G1052" s="473" t="s">
        <v>822</v>
      </c>
      <c r="H1052" s="112" t="s">
        <v>1072</v>
      </c>
      <c r="I1052" s="134">
        <v>1600</v>
      </c>
      <c r="J1052" s="134">
        <v>6391.2686000887979</v>
      </c>
      <c r="K1052" s="13">
        <f t="shared" si="50"/>
        <v>10226030</v>
      </c>
      <c r="L1052" s="113" t="s">
        <v>161</v>
      </c>
      <c r="M1052" s="113" t="s">
        <v>159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63"/>
    </row>
    <row r="1053" spans="1:26" ht="15.75" hidden="1" customHeight="1">
      <c r="A1053" s="120" t="str">
        <f>IF(B1053&lt;&gt;"",IF(AND(B1053&gt;=_TM1,B1053&lt;=_TM2,OR(TH!L1053="1111",TH!M1053="1111")),TH!D1053,""),"")</f>
        <v/>
      </c>
      <c r="B1053" s="12">
        <f t="shared" si="51"/>
        <v>12</v>
      </c>
      <c r="C1053" s="105">
        <f t="shared" si="52"/>
        <v>42707</v>
      </c>
      <c r="D1053" s="110" t="s">
        <v>1071</v>
      </c>
      <c r="E1053" s="472">
        <v>42707</v>
      </c>
      <c r="F1053" s="161" t="s">
        <v>811</v>
      </c>
      <c r="G1053" s="473" t="s">
        <v>823</v>
      </c>
      <c r="H1053" s="112" t="s">
        <v>1072</v>
      </c>
      <c r="I1053" s="133">
        <v>4000</v>
      </c>
      <c r="J1053" s="133">
        <v>6391.2686000887979</v>
      </c>
      <c r="K1053" s="13">
        <f t="shared" si="50"/>
        <v>25565074</v>
      </c>
      <c r="L1053" s="113" t="s">
        <v>161</v>
      </c>
      <c r="M1053" s="113" t="s">
        <v>159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63"/>
    </row>
    <row r="1054" spans="1:26" ht="15.75" hidden="1" customHeight="1">
      <c r="A1054" s="120" t="str">
        <f>IF(B1054&lt;&gt;"",IF(AND(B1054&gt;=_TM1,B1054&lt;=_TM2,OR(TH!L1054="1111",TH!M1054="1111")),TH!D1054,""),"")</f>
        <v/>
      </c>
      <c r="B1054" s="12">
        <f t="shared" si="51"/>
        <v>12</v>
      </c>
      <c r="C1054" s="105">
        <f t="shared" si="52"/>
        <v>42708</v>
      </c>
      <c r="D1054" s="110" t="s">
        <v>1071</v>
      </c>
      <c r="E1054" s="472">
        <v>42708</v>
      </c>
      <c r="F1054" s="161" t="s">
        <v>825</v>
      </c>
      <c r="G1054" s="473" t="s">
        <v>824</v>
      </c>
      <c r="H1054" s="112" t="s">
        <v>1072</v>
      </c>
      <c r="I1054" s="133">
        <v>6154</v>
      </c>
      <c r="J1054" s="133">
        <v>7456.4800334369311</v>
      </c>
      <c r="K1054" s="13">
        <f t="shared" si="50"/>
        <v>45887178</v>
      </c>
      <c r="L1054" s="113" t="s">
        <v>161</v>
      </c>
      <c r="M1054" s="113" t="s">
        <v>159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63"/>
    </row>
    <row r="1055" spans="1:26" ht="15.75" hidden="1" customHeight="1">
      <c r="A1055" s="120" t="str">
        <f>IF(B1055&lt;&gt;"",IF(AND(B1055&gt;=_TM1,B1055&lt;=_TM2,OR(TH!L1055="1111",TH!M1055="1111")),TH!D1055,""),"")</f>
        <v/>
      </c>
      <c r="B1055" s="12">
        <f t="shared" si="51"/>
        <v>12</v>
      </c>
      <c r="C1055" s="105">
        <f t="shared" si="52"/>
        <v>42708</v>
      </c>
      <c r="D1055" s="110" t="s">
        <v>1071</v>
      </c>
      <c r="E1055" s="472">
        <v>42708</v>
      </c>
      <c r="F1055" s="161" t="s">
        <v>826</v>
      </c>
      <c r="G1055" s="473" t="s">
        <v>824</v>
      </c>
      <c r="H1055" s="112" t="s">
        <v>1072</v>
      </c>
      <c r="I1055" s="133">
        <v>878</v>
      </c>
      <c r="J1055" s="133">
        <v>8978.2106525056934</v>
      </c>
      <c r="K1055" s="13">
        <f t="shared" si="50"/>
        <v>7882869</v>
      </c>
      <c r="L1055" s="113" t="s">
        <v>161</v>
      </c>
      <c r="M1055" s="113" t="s">
        <v>159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63"/>
    </row>
    <row r="1056" spans="1:26" ht="15.75" hidden="1" customHeight="1">
      <c r="A1056" s="120" t="str">
        <f>IF(B1056&lt;&gt;"",IF(AND(B1056&gt;=_TM1,B1056&lt;=_TM2,OR(TH!L1056="1111",TH!M1056="1111")),TH!D1056,""),"")</f>
        <v/>
      </c>
      <c r="B1056" s="12">
        <f t="shared" si="51"/>
        <v>12</v>
      </c>
      <c r="C1056" s="105">
        <f t="shared" si="52"/>
        <v>42709</v>
      </c>
      <c r="D1056" s="110" t="s">
        <v>1071</v>
      </c>
      <c r="E1056" s="472">
        <v>42709</v>
      </c>
      <c r="F1056" s="161" t="s">
        <v>811</v>
      </c>
      <c r="G1056" s="473" t="s">
        <v>827</v>
      </c>
      <c r="H1056" s="112" t="s">
        <v>1072</v>
      </c>
      <c r="I1056" s="133">
        <v>2400</v>
      </c>
      <c r="J1056" s="133">
        <v>6391.2686000887979</v>
      </c>
      <c r="K1056" s="13">
        <f t="shared" si="50"/>
        <v>15339045</v>
      </c>
      <c r="L1056" s="113" t="s">
        <v>161</v>
      </c>
      <c r="M1056" s="113" t="s">
        <v>159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63"/>
    </row>
    <row r="1057" spans="1:26" ht="15.75" hidden="1" customHeight="1">
      <c r="A1057" s="120" t="str">
        <f>IF(B1057&lt;&gt;"",IF(AND(B1057&gt;=_TM1,B1057&lt;=_TM2,OR(TH!L1057="1111",TH!M1057="1111")),TH!D1057,""),"")</f>
        <v/>
      </c>
      <c r="B1057" s="12">
        <f t="shared" si="51"/>
        <v>12</v>
      </c>
      <c r="C1057" s="105">
        <f t="shared" si="52"/>
        <v>42710</v>
      </c>
      <c r="D1057" s="110" t="s">
        <v>1071</v>
      </c>
      <c r="E1057" s="472">
        <v>42710</v>
      </c>
      <c r="F1057" s="161" t="s">
        <v>811</v>
      </c>
      <c r="G1057" s="473" t="s">
        <v>828</v>
      </c>
      <c r="H1057" s="112" t="s">
        <v>1072</v>
      </c>
      <c r="I1057" s="133">
        <v>2400</v>
      </c>
      <c r="J1057" s="133">
        <v>6391.2686000887979</v>
      </c>
      <c r="K1057" s="13">
        <f t="shared" si="50"/>
        <v>15339045</v>
      </c>
      <c r="L1057" s="113" t="s">
        <v>161</v>
      </c>
      <c r="M1057" s="113" t="s">
        <v>159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63"/>
    </row>
    <row r="1058" spans="1:26" ht="15.75" hidden="1" customHeight="1">
      <c r="A1058" s="120" t="str">
        <f>IF(B1058&lt;&gt;"",IF(AND(B1058&gt;=_TM1,B1058&lt;=_TM2,OR(TH!L1058="1111",TH!M1058="1111")),TH!D1058,""),"")</f>
        <v/>
      </c>
      <c r="B1058" s="12">
        <f t="shared" si="51"/>
        <v>12</v>
      </c>
      <c r="C1058" s="105">
        <f t="shared" si="52"/>
        <v>42713</v>
      </c>
      <c r="D1058" s="110" t="s">
        <v>1071</v>
      </c>
      <c r="E1058" s="472">
        <v>42713</v>
      </c>
      <c r="F1058" s="161" t="s">
        <v>831</v>
      </c>
      <c r="G1058" s="473" t="s">
        <v>830</v>
      </c>
      <c r="H1058" s="112" t="s">
        <v>1072</v>
      </c>
      <c r="I1058" s="133">
        <v>400</v>
      </c>
      <c r="J1058" s="133">
        <v>9282.5567763194449</v>
      </c>
      <c r="K1058" s="13">
        <f t="shared" si="50"/>
        <v>3713023</v>
      </c>
      <c r="L1058" s="113" t="s">
        <v>161</v>
      </c>
      <c r="M1058" s="113" t="s">
        <v>159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63"/>
    </row>
    <row r="1059" spans="1:26" ht="15.75" hidden="1" customHeight="1">
      <c r="A1059" s="120" t="str">
        <f>IF(B1059&lt;&gt;"",IF(AND(B1059&gt;=_TM1,B1059&lt;=_TM2,OR(TH!L1059="1111",TH!M1059="1111")),TH!D1059,""),"")</f>
        <v/>
      </c>
      <c r="B1059" s="12">
        <f t="shared" si="51"/>
        <v>12</v>
      </c>
      <c r="C1059" s="105">
        <f t="shared" si="52"/>
        <v>42713</v>
      </c>
      <c r="D1059" s="110" t="s">
        <v>1071</v>
      </c>
      <c r="E1059" s="472">
        <v>42713</v>
      </c>
      <c r="F1059" s="161" t="s">
        <v>832</v>
      </c>
      <c r="G1059" s="473" t="s">
        <v>830</v>
      </c>
      <c r="H1059" s="112" t="s">
        <v>1072</v>
      </c>
      <c r="I1059" s="133">
        <v>4000</v>
      </c>
      <c r="J1059" s="135">
        <v>1749.9902119290759</v>
      </c>
      <c r="K1059" s="13">
        <f t="shared" si="50"/>
        <v>6999961</v>
      </c>
      <c r="L1059" s="113" t="s">
        <v>161</v>
      </c>
      <c r="M1059" s="113" t="s">
        <v>159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63"/>
    </row>
    <row r="1060" spans="1:26" ht="15.75" hidden="1" customHeight="1">
      <c r="A1060" s="120" t="str">
        <f>IF(B1060&lt;&gt;"",IF(AND(B1060&gt;=_TM1,B1060&lt;=_TM2,OR(TH!L1060="1111",TH!M1060="1111")),TH!D1060,""),"")</f>
        <v/>
      </c>
      <c r="B1060" s="12">
        <f t="shared" si="51"/>
        <v>12</v>
      </c>
      <c r="C1060" s="105">
        <f t="shared" si="52"/>
        <v>42713</v>
      </c>
      <c r="D1060" s="110" t="s">
        <v>1071</v>
      </c>
      <c r="E1060" s="472">
        <v>42713</v>
      </c>
      <c r="F1060" s="161" t="s">
        <v>826</v>
      </c>
      <c r="G1060" s="473" t="s">
        <v>439</v>
      </c>
      <c r="H1060" s="112" t="s">
        <v>1072</v>
      </c>
      <c r="I1060" s="134">
        <v>5240</v>
      </c>
      <c r="J1060" s="134">
        <v>8978.2106525056934</v>
      </c>
      <c r="K1060" s="13">
        <f t="shared" si="50"/>
        <v>47045824</v>
      </c>
      <c r="L1060" s="113" t="s">
        <v>161</v>
      </c>
      <c r="M1060" s="113" t="s">
        <v>159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63"/>
    </row>
    <row r="1061" spans="1:26" ht="15.75" hidden="1" customHeight="1">
      <c r="A1061" s="120" t="str">
        <f>IF(B1061&lt;&gt;"",IF(AND(B1061&gt;=_TM1,B1061&lt;=_TM2,OR(TH!L1061="1111",TH!M1061="1111")),TH!D1061,""),"")</f>
        <v/>
      </c>
      <c r="B1061" s="12">
        <f t="shared" si="51"/>
        <v>12</v>
      </c>
      <c r="C1061" s="105">
        <f t="shared" si="52"/>
        <v>42713</v>
      </c>
      <c r="D1061" s="110" t="s">
        <v>1071</v>
      </c>
      <c r="E1061" s="472">
        <v>42713</v>
      </c>
      <c r="F1061" s="161" t="s">
        <v>835</v>
      </c>
      <c r="G1061" s="473" t="s">
        <v>834</v>
      </c>
      <c r="H1061" s="112" t="s">
        <v>1072</v>
      </c>
      <c r="I1061" s="133">
        <v>91</v>
      </c>
      <c r="J1061" s="133">
        <v>17119.469464523569</v>
      </c>
      <c r="K1061" s="13">
        <f t="shared" si="50"/>
        <v>1557872</v>
      </c>
      <c r="L1061" s="113" t="s">
        <v>161</v>
      </c>
      <c r="M1061" s="113" t="s">
        <v>159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63"/>
    </row>
    <row r="1062" spans="1:26" ht="15.75" hidden="1" customHeight="1">
      <c r="A1062" s="120" t="str">
        <f>IF(B1062&lt;&gt;"",IF(AND(B1062&gt;=_TM1,B1062&lt;=_TM2,OR(TH!L1062="1111",TH!M1062="1111")),TH!D1062,""),"")</f>
        <v/>
      </c>
      <c r="B1062" s="12">
        <f t="shared" si="51"/>
        <v>12</v>
      </c>
      <c r="C1062" s="105">
        <f t="shared" si="52"/>
        <v>42713</v>
      </c>
      <c r="D1062" s="110" t="s">
        <v>1071</v>
      </c>
      <c r="E1062" s="472">
        <v>42713</v>
      </c>
      <c r="F1062" s="161" t="s">
        <v>836</v>
      </c>
      <c r="G1062" s="473" t="s">
        <v>834</v>
      </c>
      <c r="H1062" s="112" t="s">
        <v>1072</v>
      </c>
      <c r="I1062" s="133">
        <v>300</v>
      </c>
      <c r="J1062" s="133">
        <v>6391.2686000887979</v>
      </c>
      <c r="K1062" s="13">
        <f t="shared" ref="K1062:K1125" si="53">ROUND(I1062*J1062,0)</f>
        <v>1917381</v>
      </c>
      <c r="L1062" s="113" t="s">
        <v>161</v>
      </c>
      <c r="M1062" s="113" t="s">
        <v>159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63"/>
    </row>
    <row r="1063" spans="1:26" ht="15.75" hidden="1" customHeight="1">
      <c r="A1063" s="120" t="str">
        <f>IF(B1063&lt;&gt;"",IF(AND(B1063&gt;=_TM1,B1063&lt;=_TM2,OR(TH!L1063="1111",TH!M1063="1111")),TH!D1063,""),"")</f>
        <v/>
      </c>
      <c r="B1063" s="12">
        <f t="shared" si="51"/>
        <v>12</v>
      </c>
      <c r="C1063" s="105">
        <f t="shared" si="52"/>
        <v>42713</v>
      </c>
      <c r="D1063" s="110" t="s">
        <v>1071</v>
      </c>
      <c r="E1063" s="472">
        <v>42713</v>
      </c>
      <c r="F1063" s="161" t="s">
        <v>811</v>
      </c>
      <c r="G1063" s="473" t="s">
        <v>837</v>
      </c>
      <c r="H1063" s="112" t="s">
        <v>1072</v>
      </c>
      <c r="I1063" s="133">
        <v>2400</v>
      </c>
      <c r="J1063" s="133">
        <v>6391.2686000887979</v>
      </c>
      <c r="K1063" s="13">
        <f t="shared" si="53"/>
        <v>15339045</v>
      </c>
      <c r="L1063" s="113" t="s">
        <v>161</v>
      </c>
      <c r="M1063" s="113" t="s">
        <v>159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63"/>
    </row>
    <row r="1064" spans="1:26" ht="15.75" hidden="1" customHeight="1">
      <c r="A1064" s="120" t="str">
        <f>IF(B1064&lt;&gt;"",IF(AND(B1064&gt;=_TM1,B1064&lt;=_TM2,OR(TH!L1064="1111",TH!M1064="1111")),TH!D1064,""),"")</f>
        <v/>
      </c>
      <c r="B1064" s="12">
        <f t="shared" ref="B1064:B1134" si="54">IF(C1064&lt;&gt;"",MONTH(C1064),"")</f>
        <v>12</v>
      </c>
      <c r="C1064" s="105">
        <f t="shared" si="52"/>
        <v>42714</v>
      </c>
      <c r="D1064" s="110" t="s">
        <v>1071</v>
      </c>
      <c r="E1064" s="472">
        <v>42714</v>
      </c>
      <c r="F1064" s="161" t="s">
        <v>811</v>
      </c>
      <c r="G1064" s="473" t="s">
        <v>838</v>
      </c>
      <c r="H1064" s="112" t="s">
        <v>1072</v>
      </c>
      <c r="I1064" s="134">
        <v>2400</v>
      </c>
      <c r="J1064" s="134">
        <v>6391.2686000887979</v>
      </c>
      <c r="K1064" s="13">
        <f t="shared" si="53"/>
        <v>15339045</v>
      </c>
      <c r="L1064" s="113" t="s">
        <v>161</v>
      </c>
      <c r="M1064" s="113" t="s">
        <v>159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63"/>
    </row>
    <row r="1065" spans="1:26" ht="15.75" hidden="1" customHeight="1">
      <c r="A1065" s="120" t="str">
        <f>IF(B1065&lt;&gt;"",IF(AND(B1065&gt;=_TM1,B1065&lt;=_TM2,OR(TH!L1065="1111",TH!M1065="1111")),TH!D1065,""),"")</f>
        <v/>
      </c>
      <c r="B1065" s="12">
        <f t="shared" si="54"/>
        <v>12</v>
      </c>
      <c r="C1065" s="105">
        <f t="shared" si="52"/>
        <v>42715</v>
      </c>
      <c r="D1065" s="110" t="s">
        <v>1071</v>
      </c>
      <c r="E1065" s="472">
        <v>42715</v>
      </c>
      <c r="F1065" s="161" t="s">
        <v>811</v>
      </c>
      <c r="G1065" s="473" t="s">
        <v>839</v>
      </c>
      <c r="H1065" s="112" t="s">
        <v>1072</v>
      </c>
      <c r="I1065" s="134">
        <v>2400</v>
      </c>
      <c r="J1065" s="134">
        <v>6391.2686000887979</v>
      </c>
      <c r="K1065" s="13">
        <f t="shared" si="53"/>
        <v>15339045</v>
      </c>
      <c r="L1065" s="113" t="s">
        <v>161</v>
      </c>
      <c r="M1065" s="113" t="s">
        <v>159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63"/>
    </row>
    <row r="1066" spans="1:26" ht="15.75" hidden="1" customHeight="1">
      <c r="A1066" s="120" t="str">
        <f>IF(B1066&lt;&gt;"",IF(AND(B1066&gt;=_TM1,B1066&lt;=_TM2,OR(TH!L1066="1111",TH!M1066="1111")),TH!D1066,""),"")</f>
        <v/>
      </c>
      <c r="B1066" s="12">
        <f t="shared" si="54"/>
        <v>12</v>
      </c>
      <c r="C1066" s="105">
        <f t="shared" si="52"/>
        <v>42716</v>
      </c>
      <c r="D1066" s="110" t="s">
        <v>1071</v>
      </c>
      <c r="E1066" s="472">
        <v>42716</v>
      </c>
      <c r="F1066" s="161" t="s">
        <v>811</v>
      </c>
      <c r="G1066" s="473" t="s">
        <v>840</v>
      </c>
      <c r="H1066" s="112" t="s">
        <v>1072</v>
      </c>
      <c r="I1066" s="133">
        <v>2400</v>
      </c>
      <c r="J1066" s="135">
        <v>6391.2686000887979</v>
      </c>
      <c r="K1066" s="13">
        <f t="shared" si="53"/>
        <v>15339045</v>
      </c>
      <c r="L1066" s="113" t="s">
        <v>161</v>
      </c>
      <c r="M1066" s="113" t="s">
        <v>159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63"/>
    </row>
    <row r="1067" spans="1:26" ht="15.75" hidden="1" customHeight="1">
      <c r="A1067" s="120" t="str">
        <f>IF(B1067&lt;&gt;"",IF(AND(B1067&gt;=_TM1,B1067&lt;=_TM2,OR(TH!L1067="1111",TH!M1067="1111")),TH!D1067,""),"")</f>
        <v/>
      </c>
      <c r="B1067" s="12">
        <f t="shared" si="54"/>
        <v>12</v>
      </c>
      <c r="C1067" s="105">
        <f t="shared" si="52"/>
        <v>42716</v>
      </c>
      <c r="D1067" s="110" t="s">
        <v>1071</v>
      </c>
      <c r="E1067" s="472">
        <v>42716</v>
      </c>
      <c r="F1067" s="161" t="s">
        <v>662</v>
      </c>
      <c r="G1067" s="473" t="s">
        <v>880</v>
      </c>
      <c r="H1067" s="112" t="s">
        <v>1072</v>
      </c>
      <c r="I1067" s="133">
        <v>332</v>
      </c>
      <c r="J1067" s="135">
        <v>7152.1339096231786</v>
      </c>
      <c r="K1067" s="13">
        <f t="shared" si="53"/>
        <v>2374508</v>
      </c>
      <c r="L1067" s="113" t="s">
        <v>161</v>
      </c>
      <c r="M1067" s="113" t="s">
        <v>159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63"/>
    </row>
    <row r="1068" spans="1:26" ht="15.75" hidden="1" customHeight="1">
      <c r="A1068" s="120" t="str">
        <f>IF(B1068&lt;&gt;"",IF(AND(B1068&gt;=_TM1,B1068&lt;=_TM2,OR(TH!L1068="1111",TH!M1068="1111")),TH!D1068,""),"")</f>
        <v/>
      </c>
      <c r="B1068" s="12">
        <f t="shared" si="54"/>
        <v>12</v>
      </c>
      <c r="C1068" s="105">
        <f t="shared" si="52"/>
        <v>42716</v>
      </c>
      <c r="D1068" s="110" t="s">
        <v>1071</v>
      </c>
      <c r="E1068" s="472">
        <v>42716</v>
      </c>
      <c r="F1068" s="161" t="s">
        <v>509</v>
      </c>
      <c r="G1068" s="473" t="s">
        <v>880</v>
      </c>
      <c r="H1068" s="112" t="s">
        <v>1072</v>
      </c>
      <c r="I1068" s="133">
        <v>104</v>
      </c>
      <c r="J1068" s="135">
        <v>10195.595147760703</v>
      </c>
      <c r="K1068" s="13">
        <f t="shared" si="53"/>
        <v>1060342</v>
      </c>
      <c r="L1068" s="113" t="s">
        <v>161</v>
      </c>
      <c r="M1068" s="113" t="s">
        <v>159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63"/>
    </row>
    <row r="1069" spans="1:26" ht="15.75" hidden="1" customHeight="1">
      <c r="A1069" s="120" t="str">
        <f>IF(B1069&lt;&gt;"",IF(AND(B1069&gt;=_TM1,B1069&lt;=_TM2,OR(TH!L1069="1111",TH!M1069="1111")),TH!D1069,""),"")</f>
        <v/>
      </c>
      <c r="B1069" s="12">
        <f t="shared" si="54"/>
        <v>12</v>
      </c>
      <c r="C1069" s="105">
        <f t="shared" si="52"/>
        <v>42717</v>
      </c>
      <c r="D1069" s="110" t="s">
        <v>1071</v>
      </c>
      <c r="E1069" s="472">
        <v>42717</v>
      </c>
      <c r="F1069" s="161" t="s">
        <v>527</v>
      </c>
      <c r="G1069" s="473" t="s">
        <v>881</v>
      </c>
      <c r="H1069" s="112" t="s">
        <v>1072</v>
      </c>
      <c r="I1069" s="133">
        <v>60</v>
      </c>
      <c r="J1069" s="135">
        <v>55162.734941242605</v>
      </c>
      <c r="K1069" s="13">
        <f t="shared" si="53"/>
        <v>3309764</v>
      </c>
      <c r="L1069" s="113" t="s">
        <v>161</v>
      </c>
      <c r="M1069" s="113" t="s">
        <v>159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63"/>
    </row>
    <row r="1070" spans="1:26" ht="15.75" hidden="1" customHeight="1">
      <c r="A1070" s="120" t="str">
        <f>IF(B1070&lt;&gt;"",IF(AND(B1070&gt;=_TM1,B1070&lt;=_TM2,OR(TH!L1070="1111",TH!M1070="1111")),TH!D1070,""),"")</f>
        <v/>
      </c>
      <c r="B1070" s="12">
        <f t="shared" si="54"/>
        <v>12</v>
      </c>
      <c r="C1070" s="105">
        <f t="shared" si="52"/>
        <v>42717</v>
      </c>
      <c r="D1070" s="110" t="s">
        <v>1071</v>
      </c>
      <c r="E1070" s="472">
        <v>42717</v>
      </c>
      <c r="F1070" s="161" t="s">
        <v>664</v>
      </c>
      <c r="G1070" s="473" t="s">
        <v>881</v>
      </c>
      <c r="H1070" s="112" t="s">
        <v>1072</v>
      </c>
      <c r="I1070" s="134">
        <v>22</v>
      </c>
      <c r="J1070" s="135">
        <v>64369.205186608619</v>
      </c>
      <c r="K1070" s="13">
        <f t="shared" si="53"/>
        <v>1416123</v>
      </c>
      <c r="L1070" s="113" t="s">
        <v>161</v>
      </c>
      <c r="M1070" s="113" t="s">
        <v>159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63"/>
    </row>
    <row r="1071" spans="1:26" ht="15.75" hidden="1" customHeight="1">
      <c r="A1071" s="120" t="str">
        <f>IF(B1071&lt;&gt;"",IF(AND(B1071&gt;=_TM1,B1071&lt;=_TM2,OR(TH!L1071="1111",TH!M1071="1111")),TH!D1071,""),"")</f>
        <v/>
      </c>
      <c r="B1071" s="12">
        <f t="shared" si="54"/>
        <v>12</v>
      </c>
      <c r="C1071" s="105">
        <f t="shared" si="52"/>
        <v>42719</v>
      </c>
      <c r="D1071" s="110" t="s">
        <v>1071</v>
      </c>
      <c r="E1071" s="472">
        <v>42719</v>
      </c>
      <c r="F1071" s="161" t="s">
        <v>842</v>
      </c>
      <c r="G1071" s="473" t="s">
        <v>841</v>
      </c>
      <c r="H1071" s="112" t="s">
        <v>1072</v>
      </c>
      <c r="I1071" s="134">
        <v>103</v>
      </c>
      <c r="J1071" s="135">
        <v>12021.671890643216</v>
      </c>
      <c r="K1071" s="13">
        <f t="shared" si="53"/>
        <v>1238232</v>
      </c>
      <c r="L1071" s="113" t="s">
        <v>161</v>
      </c>
      <c r="M1071" s="113" t="s">
        <v>159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63"/>
    </row>
    <row r="1072" spans="1:26" ht="15.75" hidden="1" customHeight="1">
      <c r="A1072" s="120" t="str">
        <f>IF(B1072&lt;&gt;"",IF(AND(B1072&gt;=_TM1,B1072&lt;=_TM2,OR(TH!L1072="1111",TH!M1072="1111")),TH!D1072,""),"")</f>
        <v/>
      </c>
      <c r="B1072" s="12">
        <f t="shared" si="54"/>
        <v>12</v>
      </c>
      <c r="C1072" s="105">
        <f t="shared" si="52"/>
        <v>42719</v>
      </c>
      <c r="D1072" s="110" t="s">
        <v>1071</v>
      </c>
      <c r="E1072" s="472">
        <v>42719</v>
      </c>
      <c r="F1072" s="161" t="s">
        <v>843</v>
      </c>
      <c r="G1072" s="473" t="s">
        <v>841</v>
      </c>
      <c r="H1072" s="112" t="s">
        <v>1072</v>
      </c>
      <c r="I1072" s="133">
        <v>273</v>
      </c>
      <c r="J1072" s="135">
        <v>18260.767428825136</v>
      </c>
      <c r="K1072" s="13">
        <f t="shared" si="53"/>
        <v>4985190</v>
      </c>
      <c r="L1072" s="113" t="s">
        <v>161</v>
      </c>
      <c r="M1072" s="113" t="s">
        <v>159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63"/>
    </row>
    <row r="1073" spans="1:26" ht="15.75" hidden="1" customHeight="1">
      <c r="A1073" s="120" t="str">
        <f>IF(B1073&lt;&gt;"",IF(AND(B1073&gt;=_TM1,B1073&lt;=_TM2,OR(TH!L1073="1111",TH!M1073="1111")),TH!D1073,""),"")</f>
        <v/>
      </c>
      <c r="B1073" s="12">
        <f t="shared" si="54"/>
        <v>12</v>
      </c>
      <c r="C1073" s="105">
        <f t="shared" si="52"/>
        <v>42719</v>
      </c>
      <c r="D1073" s="110" t="s">
        <v>1071</v>
      </c>
      <c r="E1073" s="472">
        <v>42719</v>
      </c>
      <c r="F1073" s="161" t="s">
        <v>811</v>
      </c>
      <c r="G1073" s="473" t="s">
        <v>882</v>
      </c>
      <c r="H1073" s="112" t="s">
        <v>1072</v>
      </c>
      <c r="I1073" s="135">
        <v>2400</v>
      </c>
      <c r="J1073" s="135">
        <v>6391.2686000887979</v>
      </c>
      <c r="K1073" s="13">
        <f t="shared" si="53"/>
        <v>15339045</v>
      </c>
      <c r="L1073" s="113" t="s">
        <v>161</v>
      </c>
      <c r="M1073" s="113" t="s">
        <v>159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63"/>
    </row>
    <row r="1074" spans="1:26" ht="15.75" hidden="1" customHeight="1">
      <c r="A1074" s="120" t="str">
        <f>IF(B1074&lt;&gt;"",IF(AND(B1074&gt;=_TM1,B1074&lt;=_TM2,OR(TH!L1074="1111",TH!M1074="1111")),TH!D1074,""),"")</f>
        <v/>
      </c>
      <c r="B1074" s="12">
        <f t="shared" si="54"/>
        <v>12</v>
      </c>
      <c r="C1074" s="105">
        <f t="shared" si="52"/>
        <v>42720</v>
      </c>
      <c r="D1074" s="110" t="s">
        <v>1071</v>
      </c>
      <c r="E1074" s="472">
        <v>42720</v>
      </c>
      <c r="F1074" s="161" t="s">
        <v>811</v>
      </c>
      <c r="G1074" s="473" t="s">
        <v>883</v>
      </c>
      <c r="H1074" s="112" t="s">
        <v>1072</v>
      </c>
      <c r="I1074" s="133">
        <v>2400</v>
      </c>
      <c r="J1074" s="135">
        <v>6391.2686000887979</v>
      </c>
      <c r="K1074" s="13">
        <f t="shared" si="53"/>
        <v>15339045</v>
      </c>
      <c r="L1074" s="113" t="s">
        <v>161</v>
      </c>
      <c r="M1074" s="113" t="s">
        <v>159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63"/>
    </row>
    <row r="1075" spans="1:26" ht="15.75" hidden="1" customHeight="1">
      <c r="A1075" s="120" t="str">
        <f>IF(B1075&lt;&gt;"",IF(AND(B1075&gt;=_TM1,B1075&lt;=_TM2,OR(TH!L1075="1111",TH!M1075="1111")),TH!D1075,""),"")</f>
        <v/>
      </c>
      <c r="B1075" s="12">
        <f t="shared" si="54"/>
        <v>12</v>
      </c>
      <c r="C1075" s="105">
        <f t="shared" si="52"/>
        <v>42721</v>
      </c>
      <c r="D1075" s="110" t="s">
        <v>1071</v>
      </c>
      <c r="E1075" s="472">
        <v>42721</v>
      </c>
      <c r="F1075" s="161" t="s">
        <v>846</v>
      </c>
      <c r="G1075" s="473" t="s">
        <v>845</v>
      </c>
      <c r="H1075" s="112" t="s">
        <v>1072</v>
      </c>
      <c r="I1075" s="133">
        <v>205</v>
      </c>
      <c r="J1075" s="135">
        <v>5173.8841048337899</v>
      </c>
      <c r="K1075" s="13">
        <f t="shared" si="53"/>
        <v>1060646</v>
      </c>
      <c r="L1075" s="113" t="s">
        <v>161</v>
      </c>
      <c r="M1075" s="113" t="s">
        <v>159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63"/>
    </row>
    <row r="1076" spans="1:26" ht="15.75" hidden="1" customHeight="1">
      <c r="A1076" s="120" t="str">
        <f>IF(B1076&lt;&gt;"",IF(AND(B1076&gt;=_TM1,B1076&lt;=_TM2,OR(TH!L1076="1111",TH!M1076="1111")),TH!D1076,""),"")</f>
        <v/>
      </c>
      <c r="B1076" s="12">
        <f t="shared" si="54"/>
        <v>12</v>
      </c>
      <c r="C1076" s="105">
        <f t="shared" si="52"/>
        <v>42721</v>
      </c>
      <c r="D1076" s="110" t="s">
        <v>1071</v>
      </c>
      <c r="E1076" s="472">
        <v>42721</v>
      </c>
      <c r="F1076" s="161" t="s">
        <v>847</v>
      </c>
      <c r="G1076" s="473" t="s">
        <v>845</v>
      </c>
      <c r="H1076" s="112" t="s">
        <v>1072</v>
      </c>
      <c r="I1076" s="133">
        <v>1160</v>
      </c>
      <c r="J1076" s="135">
        <v>6695.6147239025513</v>
      </c>
      <c r="K1076" s="13">
        <f t="shared" si="53"/>
        <v>7766913</v>
      </c>
      <c r="L1076" s="113" t="s">
        <v>161</v>
      </c>
      <c r="M1076" s="113" t="s">
        <v>159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63"/>
    </row>
    <row r="1077" spans="1:26" ht="15.75" hidden="1" customHeight="1">
      <c r="A1077" s="120" t="str">
        <f>IF(B1077&lt;&gt;"",IF(AND(B1077&gt;=_TM1,B1077&lt;=_TM2,OR(TH!L1077="1111",TH!M1077="1111")),TH!D1077,""),"")</f>
        <v/>
      </c>
      <c r="B1077" s="12">
        <f t="shared" si="54"/>
        <v>12</v>
      </c>
      <c r="C1077" s="105">
        <f t="shared" si="52"/>
        <v>42721</v>
      </c>
      <c r="D1077" s="110" t="s">
        <v>1071</v>
      </c>
      <c r="E1077" s="472">
        <v>42721</v>
      </c>
      <c r="F1077" s="161" t="s">
        <v>849</v>
      </c>
      <c r="G1077" s="473" t="s">
        <v>848</v>
      </c>
      <c r="H1077" s="112" t="s">
        <v>1072</v>
      </c>
      <c r="I1077" s="134">
        <v>292</v>
      </c>
      <c r="J1077" s="134">
        <v>6695.6147239025513</v>
      </c>
      <c r="K1077" s="13">
        <f t="shared" si="53"/>
        <v>1955119</v>
      </c>
      <c r="L1077" s="113" t="s">
        <v>161</v>
      </c>
      <c r="M1077" s="113" t="s">
        <v>159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63"/>
    </row>
    <row r="1078" spans="1:26" ht="15.75" hidden="1" customHeight="1">
      <c r="A1078" s="120" t="str">
        <f>IF(B1078&lt;&gt;"",IF(AND(B1078&gt;=_TM1,B1078&lt;=_TM2,OR(TH!L1078="1111",TH!M1078="1111")),TH!D1078,""),"")</f>
        <v/>
      </c>
      <c r="B1078" s="12">
        <f t="shared" si="54"/>
        <v>12</v>
      </c>
      <c r="C1078" s="105">
        <f t="shared" si="52"/>
        <v>42721</v>
      </c>
      <c r="D1078" s="110" t="s">
        <v>1071</v>
      </c>
      <c r="E1078" s="472">
        <v>42721</v>
      </c>
      <c r="F1078" s="161" t="s">
        <v>850</v>
      </c>
      <c r="G1078" s="473" t="s">
        <v>848</v>
      </c>
      <c r="H1078" s="112" t="s">
        <v>1072</v>
      </c>
      <c r="I1078" s="134">
        <v>180</v>
      </c>
      <c r="J1078" s="134">
        <v>5630.4032905544173</v>
      </c>
      <c r="K1078" s="13">
        <f t="shared" si="53"/>
        <v>1013473</v>
      </c>
      <c r="L1078" s="113" t="s">
        <v>161</v>
      </c>
      <c r="M1078" s="113" t="s">
        <v>159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63"/>
    </row>
    <row r="1079" spans="1:26" ht="15.75" hidden="1" customHeight="1">
      <c r="A1079" s="120" t="str">
        <f>IF(B1079&lt;&gt;"",IF(AND(B1079&gt;=_TM1,B1079&lt;=_TM2,OR(TH!L1079="1111",TH!M1079="1111")),TH!D1079,""),"")</f>
        <v/>
      </c>
      <c r="B1079" s="12">
        <f t="shared" si="54"/>
        <v>12</v>
      </c>
      <c r="C1079" s="105">
        <f t="shared" si="52"/>
        <v>42721</v>
      </c>
      <c r="D1079" s="110" t="s">
        <v>1071</v>
      </c>
      <c r="E1079" s="472">
        <v>42721</v>
      </c>
      <c r="F1079" s="161" t="s">
        <v>851</v>
      </c>
      <c r="G1079" s="473" t="s">
        <v>848</v>
      </c>
      <c r="H1079" s="112" t="s">
        <v>1072</v>
      </c>
      <c r="I1079" s="134">
        <v>50</v>
      </c>
      <c r="J1079" s="134">
        <v>4565.1918572062841</v>
      </c>
      <c r="K1079" s="13">
        <f t="shared" si="53"/>
        <v>228260</v>
      </c>
      <c r="L1079" s="113" t="s">
        <v>161</v>
      </c>
      <c r="M1079" s="113" t="s">
        <v>159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63"/>
    </row>
    <row r="1080" spans="1:26" ht="15.75" hidden="1" customHeight="1">
      <c r="A1080" s="120" t="str">
        <f>IF(B1080&lt;&gt;"",IF(AND(B1080&gt;=_TM1,B1080&lt;=_TM2,OR(TH!L1080="1111",TH!M1080="1111")),TH!D1080,""),"")</f>
        <v/>
      </c>
      <c r="B1080" s="12">
        <f t="shared" si="54"/>
        <v>12</v>
      </c>
      <c r="C1080" s="105">
        <f t="shared" si="52"/>
        <v>42721</v>
      </c>
      <c r="D1080" s="110" t="s">
        <v>1071</v>
      </c>
      <c r="E1080" s="472">
        <v>42721</v>
      </c>
      <c r="F1080" s="161" t="s">
        <v>852</v>
      </c>
      <c r="G1080" s="473" t="s">
        <v>848</v>
      </c>
      <c r="H1080" s="112" t="s">
        <v>1072</v>
      </c>
      <c r="I1080" s="134">
        <v>554</v>
      </c>
      <c r="J1080" s="134">
        <v>8978.2106525056934</v>
      </c>
      <c r="K1080" s="13">
        <f t="shared" si="53"/>
        <v>4973929</v>
      </c>
      <c r="L1080" s="113" t="s">
        <v>161</v>
      </c>
      <c r="M1080" s="113" t="s">
        <v>159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63"/>
    </row>
    <row r="1081" spans="1:26" ht="15.75" hidden="1" customHeight="1">
      <c r="A1081" s="120" t="str">
        <f>IF(B1081&lt;&gt;"",IF(AND(B1081&gt;=_TM1,B1081&lt;=_TM2,OR(TH!L1081="1111",TH!M1081="1111")),TH!D1081,""),"")</f>
        <v/>
      </c>
      <c r="B1081" s="12">
        <f t="shared" si="54"/>
        <v>12</v>
      </c>
      <c r="C1081" s="105">
        <f t="shared" si="52"/>
        <v>42721</v>
      </c>
      <c r="D1081" s="110" t="s">
        <v>1071</v>
      </c>
      <c r="E1081" s="472">
        <v>42721</v>
      </c>
      <c r="F1081" s="161" t="s">
        <v>855</v>
      </c>
      <c r="G1081" s="473" t="s">
        <v>853</v>
      </c>
      <c r="H1081" s="112" t="s">
        <v>1072</v>
      </c>
      <c r="I1081" s="133">
        <v>584</v>
      </c>
      <c r="J1081" s="133">
        <v>684.77877858094269</v>
      </c>
      <c r="K1081" s="13">
        <f t="shared" si="53"/>
        <v>399911</v>
      </c>
      <c r="L1081" s="113" t="s">
        <v>161</v>
      </c>
      <c r="M1081" s="113" t="s">
        <v>159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63"/>
    </row>
    <row r="1082" spans="1:26" ht="15.75" hidden="1" customHeight="1">
      <c r="A1082" s="120" t="str">
        <f>IF(B1082&lt;&gt;"",IF(AND(B1082&gt;=_TM1,B1082&lt;=_TM2,OR(TH!L1082="1111",TH!M1082="1111")),TH!D1082,""),"")</f>
        <v/>
      </c>
      <c r="B1082" s="12">
        <f t="shared" si="54"/>
        <v>12</v>
      </c>
      <c r="C1082" s="105">
        <f t="shared" si="52"/>
        <v>42721</v>
      </c>
      <c r="D1082" s="110" t="s">
        <v>1071</v>
      </c>
      <c r="E1082" s="472">
        <v>42721</v>
      </c>
      <c r="F1082" s="161" t="s">
        <v>856</v>
      </c>
      <c r="G1082" s="473" t="s">
        <v>853</v>
      </c>
      <c r="H1082" s="112" t="s">
        <v>1072</v>
      </c>
      <c r="I1082" s="133">
        <v>360</v>
      </c>
      <c r="J1082" s="133">
        <v>608.69224762750468</v>
      </c>
      <c r="K1082" s="13">
        <f t="shared" si="53"/>
        <v>219129</v>
      </c>
      <c r="L1082" s="113" t="s">
        <v>161</v>
      </c>
      <c r="M1082" s="113" t="s">
        <v>159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63"/>
    </row>
    <row r="1083" spans="1:26" ht="15.75" hidden="1" customHeight="1">
      <c r="A1083" s="120" t="str">
        <f>IF(B1083&lt;&gt;"",IF(AND(B1083&gt;=_TM1,B1083&lt;=_TM2,OR(TH!L1083="1111",TH!M1083="1111")),TH!D1083,""),"")</f>
        <v/>
      </c>
      <c r="B1083" s="12">
        <f t="shared" si="54"/>
        <v>12</v>
      </c>
      <c r="C1083" s="105">
        <f t="shared" si="52"/>
        <v>42721</v>
      </c>
      <c r="D1083" s="110" t="s">
        <v>1071</v>
      </c>
      <c r="E1083" s="472">
        <v>42721</v>
      </c>
      <c r="F1083" s="161" t="s">
        <v>857</v>
      </c>
      <c r="G1083" s="473" t="s">
        <v>853</v>
      </c>
      <c r="H1083" s="112" t="s">
        <v>1072</v>
      </c>
      <c r="I1083" s="133">
        <v>100</v>
      </c>
      <c r="J1083" s="133">
        <v>456.51918572062846</v>
      </c>
      <c r="K1083" s="13">
        <f t="shared" si="53"/>
        <v>45652</v>
      </c>
      <c r="L1083" s="113" t="s">
        <v>161</v>
      </c>
      <c r="M1083" s="113" t="s">
        <v>159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63"/>
    </row>
    <row r="1084" spans="1:26" ht="15.75" hidden="1" customHeight="1">
      <c r="A1084" s="120" t="str">
        <f>IF(B1084&lt;&gt;"",IF(AND(B1084&gt;=_TM1,B1084&lt;=_TM2,OR(TH!L1084="1111",TH!M1084="1111")),TH!D1084,""),"")</f>
        <v/>
      </c>
      <c r="B1084" s="12">
        <f t="shared" si="54"/>
        <v>12</v>
      </c>
      <c r="C1084" s="105">
        <f t="shared" si="52"/>
        <v>42721</v>
      </c>
      <c r="D1084" s="110" t="s">
        <v>1071</v>
      </c>
      <c r="E1084" s="472">
        <v>42721</v>
      </c>
      <c r="F1084" s="161" t="s">
        <v>858</v>
      </c>
      <c r="G1084" s="473" t="s">
        <v>853</v>
      </c>
      <c r="H1084" s="112" t="s">
        <v>1072</v>
      </c>
      <c r="I1084" s="133">
        <v>1108</v>
      </c>
      <c r="J1084" s="133">
        <v>989.12490239469503</v>
      </c>
      <c r="K1084" s="13">
        <f t="shared" si="53"/>
        <v>1095950</v>
      </c>
      <c r="L1084" s="113" t="s">
        <v>161</v>
      </c>
      <c r="M1084" s="113" t="s">
        <v>159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63"/>
    </row>
    <row r="1085" spans="1:26" ht="15.75" hidden="1" customHeight="1">
      <c r="A1085" s="120" t="str">
        <f>IF(B1085&lt;&gt;"",IF(AND(B1085&gt;=_TM1,B1085&lt;=_TM2,OR(TH!L1085="1111",TH!M1085="1111")),TH!D1085,""),"")</f>
        <v/>
      </c>
      <c r="B1085" s="12">
        <f t="shared" si="54"/>
        <v>12</v>
      </c>
      <c r="C1085" s="105">
        <f t="shared" si="52"/>
        <v>42721</v>
      </c>
      <c r="D1085" s="110" t="s">
        <v>1071</v>
      </c>
      <c r="E1085" s="472">
        <v>42721</v>
      </c>
      <c r="F1085" s="161" t="s">
        <v>811</v>
      </c>
      <c r="G1085" s="473" t="s">
        <v>884</v>
      </c>
      <c r="H1085" s="112" t="s">
        <v>1072</v>
      </c>
      <c r="I1085" s="133">
        <v>2400</v>
      </c>
      <c r="J1085" s="133">
        <v>6391.2686000887979</v>
      </c>
      <c r="K1085" s="13">
        <f t="shared" si="53"/>
        <v>15339045</v>
      </c>
      <c r="L1085" s="113" t="s">
        <v>161</v>
      </c>
      <c r="M1085" s="113" t="s">
        <v>159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63"/>
    </row>
    <row r="1086" spans="1:26" ht="15.75" hidden="1" customHeight="1">
      <c r="A1086" s="120" t="str">
        <f>IF(B1086&lt;&gt;"",IF(AND(B1086&gt;=_TM1,B1086&lt;=_TM2,OR(TH!L1086="1111",TH!M1086="1111")),TH!D1086,""),"")</f>
        <v/>
      </c>
      <c r="B1086" s="12">
        <f t="shared" si="54"/>
        <v>12</v>
      </c>
      <c r="C1086" s="105">
        <f t="shared" si="52"/>
        <v>42722</v>
      </c>
      <c r="D1086" s="110" t="s">
        <v>1071</v>
      </c>
      <c r="E1086" s="472">
        <v>42722</v>
      </c>
      <c r="F1086" s="161" t="s">
        <v>811</v>
      </c>
      <c r="G1086" s="473" t="s">
        <v>885</v>
      </c>
      <c r="H1086" s="112" t="s">
        <v>1072</v>
      </c>
      <c r="I1086" s="133">
        <v>2400</v>
      </c>
      <c r="J1086" s="133">
        <v>6391.2686000887979</v>
      </c>
      <c r="K1086" s="13">
        <f t="shared" si="53"/>
        <v>15339045</v>
      </c>
      <c r="L1086" s="113" t="s">
        <v>161</v>
      </c>
      <c r="M1086" s="113" t="s">
        <v>159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63"/>
    </row>
    <row r="1087" spans="1:26" ht="15.75" hidden="1" customHeight="1">
      <c r="A1087" s="120" t="str">
        <f>IF(B1087&lt;&gt;"",IF(AND(B1087&gt;=_TM1,B1087&lt;=_TM2,OR(TH!L1087="1111",TH!M1087="1111")),TH!D1087,""),"")</f>
        <v/>
      </c>
      <c r="B1087" s="12">
        <f t="shared" si="54"/>
        <v>12</v>
      </c>
      <c r="C1087" s="105">
        <f t="shared" si="52"/>
        <v>42723</v>
      </c>
      <c r="D1087" s="110" t="s">
        <v>1071</v>
      </c>
      <c r="E1087" s="472">
        <v>42723</v>
      </c>
      <c r="F1087" s="161" t="s">
        <v>811</v>
      </c>
      <c r="G1087" s="473" t="s">
        <v>886</v>
      </c>
      <c r="H1087" s="112" t="s">
        <v>1072</v>
      </c>
      <c r="I1087" s="133">
        <v>2400</v>
      </c>
      <c r="J1087" s="133">
        <v>6391.2686000887979</v>
      </c>
      <c r="K1087" s="13">
        <f t="shared" si="53"/>
        <v>15339045</v>
      </c>
      <c r="L1087" s="113" t="s">
        <v>161</v>
      </c>
      <c r="M1087" s="113" t="s">
        <v>159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63"/>
    </row>
    <row r="1088" spans="1:26" ht="15.75" hidden="1" customHeight="1">
      <c r="A1088" s="120" t="str">
        <f>IF(B1088&lt;&gt;"",IF(AND(B1088&gt;=_TM1,B1088&lt;=_TM2,OR(TH!L1088="1111",TH!M1088="1111")),TH!D1088,""),"")</f>
        <v/>
      </c>
      <c r="B1088" s="12">
        <f t="shared" si="54"/>
        <v>12</v>
      </c>
      <c r="C1088" s="105">
        <f t="shared" ref="C1088:C1135" si="55">E1088</f>
        <v>42724</v>
      </c>
      <c r="D1088" s="110" t="s">
        <v>1071</v>
      </c>
      <c r="E1088" s="472">
        <v>42724</v>
      </c>
      <c r="F1088" s="161" t="s">
        <v>689</v>
      </c>
      <c r="G1088" s="473" t="s">
        <v>887</v>
      </c>
      <c r="H1088" s="112" t="s">
        <v>1072</v>
      </c>
      <c r="I1088" s="133">
        <v>872</v>
      </c>
      <c r="J1088" s="133">
        <v>5173.8841048337899</v>
      </c>
      <c r="K1088" s="13">
        <f t="shared" si="53"/>
        <v>4511627</v>
      </c>
      <c r="L1088" s="113" t="s">
        <v>161</v>
      </c>
      <c r="M1088" s="113" t="s">
        <v>159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63"/>
    </row>
    <row r="1089" spans="1:26" ht="15.75" hidden="1" customHeight="1">
      <c r="A1089" s="120" t="str">
        <f>IF(B1089&lt;&gt;"",IF(AND(B1089&gt;=_TM1,B1089&lt;=_TM2,OR(TH!L1089="1111",TH!M1089="1111")),TH!D1089,""),"")</f>
        <v/>
      </c>
      <c r="B1089" s="12">
        <f t="shared" si="54"/>
        <v>12</v>
      </c>
      <c r="C1089" s="105">
        <f t="shared" si="55"/>
        <v>42724</v>
      </c>
      <c r="D1089" s="110" t="s">
        <v>1071</v>
      </c>
      <c r="E1089" s="472">
        <v>42724</v>
      </c>
      <c r="F1089" s="161" t="s">
        <v>891</v>
      </c>
      <c r="G1089" s="473" t="s">
        <v>890</v>
      </c>
      <c r="H1089" s="112" t="s">
        <v>1072</v>
      </c>
      <c r="I1089" s="133">
        <v>70</v>
      </c>
      <c r="J1089" s="133">
        <v>16358.604154989185</v>
      </c>
      <c r="K1089" s="13">
        <f t="shared" si="53"/>
        <v>1145102</v>
      </c>
      <c r="L1089" s="113" t="s">
        <v>161</v>
      </c>
      <c r="M1089" s="113" t="s">
        <v>159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63"/>
    </row>
    <row r="1090" spans="1:26" ht="15.75" hidden="1" customHeight="1">
      <c r="A1090" s="120" t="str">
        <f>IF(B1090&lt;&gt;"",IF(AND(B1090&gt;=_TM1,B1090&lt;=_TM2,OR(TH!L1090="1111",TH!M1090="1111")),TH!D1090,""),"")</f>
        <v/>
      </c>
      <c r="B1090" s="12">
        <f t="shared" si="54"/>
        <v>12</v>
      </c>
      <c r="C1090" s="105">
        <f t="shared" si="55"/>
        <v>42724</v>
      </c>
      <c r="D1090" s="110" t="s">
        <v>1071</v>
      </c>
      <c r="E1090" s="472">
        <v>42724</v>
      </c>
      <c r="F1090" s="161" t="s">
        <v>894</v>
      </c>
      <c r="G1090" s="473" t="s">
        <v>893</v>
      </c>
      <c r="H1090" s="112" t="s">
        <v>1072</v>
      </c>
      <c r="I1090" s="133">
        <v>126</v>
      </c>
      <c r="J1090" s="133">
        <v>13086.883323991349</v>
      </c>
      <c r="K1090" s="13">
        <f t="shared" si="53"/>
        <v>1648947</v>
      </c>
      <c r="L1090" s="113" t="s">
        <v>161</v>
      </c>
      <c r="M1090" s="113" t="s">
        <v>159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63"/>
    </row>
    <row r="1091" spans="1:26" ht="15.75" hidden="1" customHeight="1">
      <c r="A1091" s="120" t="str">
        <f>IF(B1091&lt;&gt;"",IF(AND(B1091&gt;=_TM1,B1091&lt;=_TM2,OR(TH!L1091="1111",TH!M1091="1111")),TH!D1091,""),"")</f>
        <v/>
      </c>
      <c r="B1091" s="12">
        <f t="shared" si="54"/>
        <v>12</v>
      </c>
      <c r="C1091" s="105">
        <f t="shared" si="55"/>
        <v>42724</v>
      </c>
      <c r="D1091" s="110" t="s">
        <v>1071</v>
      </c>
      <c r="E1091" s="472">
        <v>42724</v>
      </c>
      <c r="F1091" s="161" t="s">
        <v>895</v>
      </c>
      <c r="G1091" s="473" t="s">
        <v>893</v>
      </c>
      <c r="H1091" s="112" t="s">
        <v>1072</v>
      </c>
      <c r="I1091" s="134">
        <v>126</v>
      </c>
      <c r="J1091" s="134">
        <v>684.77877858094269</v>
      </c>
      <c r="K1091" s="13">
        <f t="shared" si="53"/>
        <v>86282</v>
      </c>
      <c r="L1091" s="113" t="s">
        <v>161</v>
      </c>
      <c r="M1091" s="113" t="s">
        <v>159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63"/>
    </row>
    <row r="1092" spans="1:26" ht="15.75" hidden="1" customHeight="1">
      <c r="A1092" s="120" t="str">
        <f>IF(B1092&lt;&gt;"",IF(AND(B1092&gt;=_TM1,B1092&lt;=_TM2,OR(TH!L1092="1111",TH!M1092="1111")),TH!D1092,""),"")</f>
        <v/>
      </c>
      <c r="B1092" s="12">
        <f t="shared" si="54"/>
        <v>12</v>
      </c>
      <c r="C1092" s="105">
        <f t="shared" si="55"/>
        <v>42724</v>
      </c>
      <c r="D1092" s="110" t="s">
        <v>1071</v>
      </c>
      <c r="E1092" s="472">
        <v>42724</v>
      </c>
      <c r="F1092" s="161" t="s">
        <v>811</v>
      </c>
      <c r="G1092" s="473" t="s">
        <v>897</v>
      </c>
      <c r="H1092" s="112" t="s">
        <v>1072</v>
      </c>
      <c r="I1092" s="133">
        <v>2400</v>
      </c>
      <c r="J1092" s="133">
        <v>6391.2686000887979</v>
      </c>
      <c r="K1092" s="13">
        <f t="shared" si="53"/>
        <v>15339045</v>
      </c>
      <c r="L1092" s="113" t="s">
        <v>161</v>
      </c>
      <c r="M1092" s="113" t="s">
        <v>159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63"/>
    </row>
    <row r="1093" spans="1:26" ht="15.75" hidden="1" customHeight="1">
      <c r="A1093" s="120" t="str">
        <f>IF(B1093&lt;&gt;"",IF(AND(B1093&gt;=_TM1,B1093&lt;=_TM2,OR(TH!L1093="1111",TH!M1093="1111")),TH!D1093,""),"")</f>
        <v/>
      </c>
      <c r="B1093" s="12">
        <f t="shared" si="54"/>
        <v>12</v>
      </c>
      <c r="C1093" s="105">
        <f t="shared" si="55"/>
        <v>42725</v>
      </c>
      <c r="D1093" s="110" t="s">
        <v>1071</v>
      </c>
      <c r="E1093" s="472">
        <v>42725</v>
      </c>
      <c r="F1093" s="161" t="s">
        <v>811</v>
      </c>
      <c r="G1093" s="473" t="s">
        <v>898</v>
      </c>
      <c r="H1093" s="112" t="s">
        <v>1072</v>
      </c>
      <c r="I1093" s="133">
        <v>2400</v>
      </c>
      <c r="J1093" s="133">
        <v>6391.2686000887979</v>
      </c>
      <c r="K1093" s="13">
        <f t="shared" si="53"/>
        <v>15339045</v>
      </c>
      <c r="L1093" s="113" t="s">
        <v>161</v>
      </c>
      <c r="M1093" s="113" t="s">
        <v>159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63"/>
    </row>
    <row r="1094" spans="1:26" ht="15.75" hidden="1" customHeight="1">
      <c r="A1094" s="120" t="str">
        <f>IF(B1094&lt;&gt;"",IF(AND(B1094&gt;=_TM1,B1094&lt;=_TM2,OR(TH!L1094="1111",TH!M1094="1111")),TH!D1094,""),"")</f>
        <v/>
      </c>
      <c r="B1094" s="12">
        <f t="shared" si="54"/>
        <v>12</v>
      </c>
      <c r="C1094" s="105">
        <f t="shared" si="55"/>
        <v>42726</v>
      </c>
      <c r="D1094" s="110" t="s">
        <v>1071</v>
      </c>
      <c r="E1094" s="472">
        <v>42726</v>
      </c>
      <c r="F1094" s="161" t="s">
        <v>900</v>
      </c>
      <c r="G1094" s="473" t="s">
        <v>899</v>
      </c>
      <c r="H1094" s="112" t="s">
        <v>1072</v>
      </c>
      <c r="I1094" s="134">
        <v>285</v>
      </c>
      <c r="J1094" s="134">
        <v>9891.2490239469498</v>
      </c>
      <c r="K1094" s="13">
        <f t="shared" si="53"/>
        <v>2819006</v>
      </c>
      <c r="L1094" s="113" t="s">
        <v>161</v>
      </c>
      <c r="M1094" s="113" t="s">
        <v>159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63"/>
    </row>
    <row r="1095" spans="1:26" ht="15.75" hidden="1" customHeight="1">
      <c r="A1095" s="120" t="str">
        <f>IF(B1095&lt;&gt;"",IF(AND(B1095&gt;=_TM1,B1095&lt;=_TM2,OR(TH!L1095="1111",TH!M1095="1111")),TH!D1095,""),"")</f>
        <v/>
      </c>
      <c r="B1095" s="12">
        <f t="shared" si="54"/>
        <v>12</v>
      </c>
      <c r="C1095" s="105">
        <f t="shared" si="55"/>
        <v>42726</v>
      </c>
      <c r="D1095" s="110" t="s">
        <v>1071</v>
      </c>
      <c r="E1095" s="472">
        <v>42726</v>
      </c>
      <c r="F1095" s="161" t="s">
        <v>901</v>
      </c>
      <c r="G1095" s="473" t="s">
        <v>899</v>
      </c>
      <c r="H1095" s="112" t="s">
        <v>1072</v>
      </c>
      <c r="I1095" s="133">
        <v>110</v>
      </c>
      <c r="J1095" s="133">
        <v>9434.7298382263216</v>
      </c>
      <c r="K1095" s="13">
        <f t="shared" si="53"/>
        <v>1037820</v>
      </c>
      <c r="L1095" s="113" t="s">
        <v>161</v>
      </c>
      <c r="M1095" s="113" t="s">
        <v>159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63"/>
    </row>
    <row r="1096" spans="1:26" ht="15.75" hidden="1" customHeight="1">
      <c r="A1096" s="120" t="str">
        <f>IF(B1096&lt;&gt;"",IF(AND(B1096&gt;=_TM1,B1096&lt;=_TM2,OR(TH!L1096="1111",TH!M1096="1111")),TH!D1096,""),"")</f>
        <v/>
      </c>
      <c r="B1096" s="12">
        <f t="shared" si="54"/>
        <v>12</v>
      </c>
      <c r="C1096" s="105">
        <f t="shared" si="55"/>
        <v>42726</v>
      </c>
      <c r="D1096" s="110" t="s">
        <v>1071</v>
      </c>
      <c r="E1096" s="472">
        <v>42726</v>
      </c>
      <c r="F1096" s="161" t="s">
        <v>902</v>
      </c>
      <c r="G1096" s="473" t="s">
        <v>899</v>
      </c>
      <c r="H1096" s="112" t="s">
        <v>1072</v>
      </c>
      <c r="I1096" s="134">
        <v>160</v>
      </c>
      <c r="J1096" s="134">
        <v>9739.075962040075</v>
      </c>
      <c r="K1096" s="13">
        <f t="shared" si="53"/>
        <v>1558252</v>
      </c>
      <c r="L1096" s="113" t="s">
        <v>161</v>
      </c>
      <c r="M1096" s="113" t="s">
        <v>159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63"/>
    </row>
    <row r="1097" spans="1:26" ht="15.75" hidden="1" customHeight="1">
      <c r="A1097" s="120" t="str">
        <f>IF(B1097&lt;&gt;"",IF(AND(B1097&gt;=_TM1,B1097&lt;=_TM2,OR(TH!L1097="1111",TH!M1097="1111")),TH!D1097,""),"")</f>
        <v/>
      </c>
      <c r="B1097" s="12">
        <f t="shared" si="54"/>
        <v>12</v>
      </c>
      <c r="C1097" s="105">
        <f t="shared" si="55"/>
        <v>42726</v>
      </c>
      <c r="D1097" s="110" t="s">
        <v>1071</v>
      </c>
      <c r="E1097" s="472">
        <v>42726</v>
      </c>
      <c r="F1097" s="161" t="s">
        <v>499</v>
      </c>
      <c r="G1097" s="473" t="s">
        <v>899</v>
      </c>
      <c r="H1097" s="112" t="s">
        <v>1072</v>
      </c>
      <c r="I1097" s="133">
        <v>550</v>
      </c>
      <c r="J1097" s="133">
        <v>10195.595147760703</v>
      </c>
      <c r="K1097" s="13">
        <f t="shared" si="53"/>
        <v>5607577</v>
      </c>
      <c r="L1097" s="113" t="s">
        <v>161</v>
      </c>
      <c r="M1097" s="113" t="s">
        <v>159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63"/>
    </row>
    <row r="1098" spans="1:26" ht="15.75" hidden="1" customHeight="1">
      <c r="A1098" s="120" t="str">
        <f>IF(B1098&lt;&gt;"",IF(AND(B1098&gt;=_TM1,B1098&lt;=_TM2,OR(TH!L1098="1111",TH!M1098="1111")),TH!D1098,""),"")</f>
        <v/>
      </c>
      <c r="B1098" s="12">
        <f t="shared" si="54"/>
        <v>12</v>
      </c>
      <c r="C1098" s="105">
        <f t="shared" si="55"/>
        <v>42726</v>
      </c>
      <c r="D1098" s="110" t="s">
        <v>1071</v>
      </c>
      <c r="E1098" s="472">
        <v>42726</v>
      </c>
      <c r="F1098" s="161" t="s">
        <v>904</v>
      </c>
      <c r="G1098" s="473" t="s">
        <v>903</v>
      </c>
      <c r="H1098" s="112" t="s">
        <v>1072</v>
      </c>
      <c r="I1098" s="133">
        <v>275</v>
      </c>
      <c r="J1098" s="133">
        <v>12630.364138270721</v>
      </c>
      <c r="K1098" s="13">
        <f t="shared" si="53"/>
        <v>3473350</v>
      </c>
      <c r="L1098" s="113" t="s">
        <v>161</v>
      </c>
      <c r="M1098" s="113" t="s">
        <v>159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63"/>
    </row>
    <row r="1099" spans="1:26" ht="15.75" hidden="1" customHeight="1">
      <c r="A1099" s="120" t="str">
        <f>IF(B1099&lt;&gt;"",IF(AND(B1099&gt;=_TM1,B1099&lt;=_TM2,OR(TH!L1099="1111",TH!M1099="1111")),TH!D1099,""),"")</f>
        <v/>
      </c>
      <c r="B1099" s="12">
        <f t="shared" si="54"/>
        <v>12</v>
      </c>
      <c r="C1099" s="105">
        <f t="shared" si="55"/>
        <v>42726</v>
      </c>
      <c r="D1099" s="110" t="s">
        <v>1071</v>
      </c>
      <c r="E1099" s="472">
        <v>42726</v>
      </c>
      <c r="F1099" s="161" t="s">
        <v>905</v>
      </c>
      <c r="G1099" s="473" t="s">
        <v>903</v>
      </c>
      <c r="H1099" s="112" t="s">
        <v>1072</v>
      </c>
      <c r="I1099" s="133">
        <v>66</v>
      </c>
      <c r="J1099" s="133">
        <v>10728.200864434768</v>
      </c>
      <c r="K1099" s="13">
        <f t="shared" si="53"/>
        <v>708061</v>
      </c>
      <c r="L1099" s="113" t="s">
        <v>161</v>
      </c>
      <c r="M1099" s="113" t="s">
        <v>159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63"/>
    </row>
    <row r="1100" spans="1:26" ht="15.75" hidden="1" customHeight="1">
      <c r="A1100" s="120" t="str">
        <f>IF(B1100&lt;&gt;"",IF(AND(B1100&gt;=_TM1,B1100&lt;=_TM2,OR(TH!L1100="1111",TH!M1100="1111")),TH!D1100,""),"")</f>
        <v/>
      </c>
      <c r="B1100" s="12">
        <f t="shared" si="54"/>
        <v>12</v>
      </c>
      <c r="C1100" s="105">
        <f t="shared" si="55"/>
        <v>42726</v>
      </c>
      <c r="D1100" s="110" t="s">
        <v>1071</v>
      </c>
      <c r="E1100" s="472">
        <v>42726</v>
      </c>
      <c r="F1100" s="161" t="s">
        <v>499</v>
      </c>
      <c r="G1100" s="473" t="s">
        <v>903</v>
      </c>
      <c r="H1100" s="112" t="s">
        <v>1072</v>
      </c>
      <c r="I1100" s="133">
        <v>165</v>
      </c>
      <c r="J1100" s="133">
        <v>10195.595147760703</v>
      </c>
      <c r="K1100" s="13">
        <f t="shared" si="53"/>
        <v>1682273</v>
      </c>
      <c r="L1100" s="113" t="s">
        <v>161</v>
      </c>
      <c r="M1100" s="113" t="s">
        <v>159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63"/>
    </row>
    <row r="1101" spans="1:26" ht="15.75" hidden="1" customHeight="1">
      <c r="A1101" s="120" t="str">
        <f>IF(B1101&lt;&gt;"",IF(AND(B1101&gt;=_TM1,B1101&lt;=_TM2,OR(TH!L1101="1111",TH!M1101="1111")),TH!D1101,""),"")</f>
        <v/>
      </c>
      <c r="B1101" s="12">
        <f t="shared" si="54"/>
        <v>12</v>
      </c>
      <c r="C1101" s="105">
        <f t="shared" si="55"/>
        <v>42726</v>
      </c>
      <c r="D1101" s="110" t="s">
        <v>1071</v>
      </c>
      <c r="E1101" s="472">
        <v>42726</v>
      </c>
      <c r="F1101" s="161" t="s">
        <v>507</v>
      </c>
      <c r="G1101" s="473" t="s">
        <v>903</v>
      </c>
      <c r="H1101" s="112" t="s">
        <v>1072</v>
      </c>
      <c r="I1101" s="133">
        <v>550</v>
      </c>
      <c r="J1101" s="133">
        <v>1521.7306190687616</v>
      </c>
      <c r="K1101" s="13">
        <f t="shared" si="53"/>
        <v>836952</v>
      </c>
      <c r="L1101" s="113" t="s">
        <v>161</v>
      </c>
      <c r="M1101" s="113" t="s">
        <v>159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63"/>
    </row>
    <row r="1102" spans="1:26" ht="15.75" hidden="1" customHeight="1">
      <c r="A1102" s="120" t="str">
        <f>IF(B1102&lt;&gt;"",IF(AND(B1102&gt;=_TM1,B1102&lt;=_TM2,OR(TH!L1102="1111",TH!M1102="1111")),TH!D1102,""),"")</f>
        <v/>
      </c>
      <c r="B1102" s="12">
        <f t="shared" si="54"/>
        <v>12</v>
      </c>
      <c r="C1102" s="105">
        <f t="shared" si="55"/>
        <v>42726</v>
      </c>
      <c r="D1102" s="110" t="s">
        <v>1071</v>
      </c>
      <c r="E1102" s="472">
        <v>42726</v>
      </c>
      <c r="F1102" s="161" t="s">
        <v>906</v>
      </c>
      <c r="G1102" s="473" t="s">
        <v>903</v>
      </c>
      <c r="H1102" s="112" t="s">
        <v>1072</v>
      </c>
      <c r="I1102" s="133">
        <v>132</v>
      </c>
      <c r="J1102" s="133">
        <v>1369.5575571618854</v>
      </c>
      <c r="K1102" s="13">
        <f t="shared" si="53"/>
        <v>180782</v>
      </c>
      <c r="L1102" s="113" t="s">
        <v>161</v>
      </c>
      <c r="M1102" s="113" t="s">
        <v>159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63"/>
    </row>
    <row r="1103" spans="1:26" ht="15.75" hidden="1" customHeight="1">
      <c r="A1103" s="120" t="str">
        <f>IF(B1103&lt;&gt;"",IF(AND(B1103&gt;=_TM1,B1103&lt;=_TM2,OR(TH!L1103="1111",TH!M1103="1111")),TH!D1103,""),"")</f>
        <v/>
      </c>
      <c r="B1103" s="12">
        <f t="shared" si="54"/>
        <v>12</v>
      </c>
      <c r="C1103" s="105">
        <f t="shared" si="55"/>
        <v>42726</v>
      </c>
      <c r="D1103" s="110" t="s">
        <v>1071</v>
      </c>
      <c r="E1103" s="472">
        <v>42726</v>
      </c>
      <c r="F1103" s="161" t="s">
        <v>498</v>
      </c>
      <c r="G1103" s="473" t="s">
        <v>907</v>
      </c>
      <c r="H1103" s="112" t="s">
        <v>1072</v>
      </c>
      <c r="I1103" s="133">
        <v>571</v>
      </c>
      <c r="J1103" s="133">
        <v>9739.075962040075</v>
      </c>
      <c r="K1103" s="13">
        <f t="shared" si="53"/>
        <v>5561012</v>
      </c>
      <c r="L1103" s="113" t="s">
        <v>161</v>
      </c>
      <c r="M1103" s="113" t="s">
        <v>159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63"/>
    </row>
    <row r="1104" spans="1:26" ht="15.75" hidden="1" customHeight="1">
      <c r="A1104" s="120" t="str">
        <f>IF(B1104&lt;&gt;"",IF(AND(B1104&gt;=_TM1,B1104&lt;=_TM2,OR(TH!L1104="1111",TH!M1104="1111")),TH!D1104,""),"")</f>
        <v/>
      </c>
      <c r="B1104" s="12">
        <f t="shared" si="54"/>
        <v>12</v>
      </c>
      <c r="C1104" s="105">
        <f t="shared" si="55"/>
        <v>42726</v>
      </c>
      <c r="D1104" s="110" t="s">
        <v>1071</v>
      </c>
      <c r="E1104" s="472">
        <v>42726</v>
      </c>
      <c r="F1104" s="161" t="s">
        <v>498</v>
      </c>
      <c r="G1104" s="473" t="s">
        <v>908</v>
      </c>
      <c r="H1104" s="112" t="s">
        <v>1072</v>
      </c>
      <c r="I1104" s="135">
        <v>633</v>
      </c>
      <c r="J1104" s="133">
        <v>9739.075962040075</v>
      </c>
      <c r="K1104" s="13">
        <f t="shared" si="53"/>
        <v>6164835</v>
      </c>
      <c r="L1104" s="113" t="s">
        <v>161</v>
      </c>
      <c r="M1104" s="113" t="s">
        <v>159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63"/>
    </row>
    <row r="1105" spans="1:26" ht="15.75" hidden="1" customHeight="1">
      <c r="A1105" s="120" t="str">
        <f>IF(B1105&lt;&gt;"",IF(AND(B1105&gt;=_TM1,B1105&lt;=_TM2,OR(TH!L1105="1111",TH!M1105="1111")),TH!D1105,""),"")</f>
        <v/>
      </c>
      <c r="B1105" s="12">
        <f t="shared" si="54"/>
        <v>12</v>
      </c>
      <c r="C1105" s="105">
        <f t="shared" si="55"/>
        <v>42726</v>
      </c>
      <c r="D1105" s="110" t="s">
        <v>1071</v>
      </c>
      <c r="E1105" s="472">
        <v>42726</v>
      </c>
      <c r="F1105" s="161" t="s">
        <v>527</v>
      </c>
      <c r="G1105" s="473" t="s">
        <v>909</v>
      </c>
      <c r="H1105" s="112" t="s">
        <v>1072</v>
      </c>
      <c r="I1105" s="133">
        <v>288</v>
      </c>
      <c r="J1105" s="133">
        <v>55162.734941242605</v>
      </c>
      <c r="K1105" s="13">
        <f t="shared" si="53"/>
        <v>15886868</v>
      </c>
      <c r="L1105" s="113" t="s">
        <v>161</v>
      </c>
      <c r="M1105" s="113" t="s">
        <v>159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63"/>
    </row>
    <row r="1106" spans="1:26" ht="15.75" hidden="1" customHeight="1">
      <c r="A1106" s="120" t="str">
        <f>IF(B1106&lt;&gt;"",IF(AND(B1106&gt;=_TM1,B1106&lt;=_TM2,OR(TH!L1106="1111",TH!M1106="1111")),TH!D1106,""),"")</f>
        <v/>
      </c>
      <c r="B1106" s="12">
        <f t="shared" si="54"/>
        <v>12</v>
      </c>
      <c r="C1106" s="105">
        <f t="shared" si="55"/>
        <v>42726</v>
      </c>
      <c r="D1106" s="110" t="s">
        <v>1071</v>
      </c>
      <c r="E1106" s="472">
        <v>42726</v>
      </c>
      <c r="F1106" s="161" t="s">
        <v>910</v>
      </c>
      <c r="G1106" s="473" t="s">
        <v>909</v>
      </c>
      <c r="H1106" s="112" t="s">
        <v>1072</v>
      </c>
      <c r="I1106" s="133">
        <v>24</v>
      </c>
      <c r="J1106" s="133">
        <v>39717.169157694676</v>
      </c>
      <c r="K1106" s="13">
        <f t="shared" si="53"/>
        <v>953212</v>
      </c>
      <c r="L1106" s="113" t="s">
        <v>161</v>
      </c>
      <c r="M1106" s="113" t="s">
        <v>159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63"/>
    </row>
    <row r="1107" spans="1:26" ht="15.75" hidden="1" customHeight="1">
      <c r="A1107" s="120" t="str">
        <f>IF(B1107&lt;&gt;"",IF(AND(B1107&gt;=_TM1,B1107&lt;=_TM2,OR(TH!L1107="1111",TH!M1107="1111")),TH!D1107,""),"")</f>
        <v/>
      </c>
      <c r="B1107" s="12">
        <f t="shared" si="54"/>
        <v>12</v>
      </c>
      <c r="C1107" s="105">
        <f t="shared" si="55"/>
        <v>42726</v>
      </c>
      <c r="D1107" s="110" t="s">
        <v>1071</v>
      </c>
      <c r="E1107" s="472">
        <v>42726</v>
      </c>
      <c r="F1107" s="161" t="s">
        <v>811</v>
      </c>
      <c r="G1107" s="473" t="s">
        <v>911</v>
      </c>
      <c r="H1107" s="112" t="s">
        <v>1072</v>
      </c>
      <c r="I1107" s="134">
        <v>550</v>
      </c>
      <c r="J1107" s="134">
        <v>6391.2686000887979</v>
      </c>
      <c r="K1107" s="13">
        <f t="shared" si="53"/>
        <v>3515198</v>
      </c>
      <c r="L1107" s="113" t="s">
        <v>161</v>
      </c>
      <c r="M1107" s="113" t="s">
        <v>159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63"/>
    </row>
    <row r="1108" spans="1:26" ht="15.75" hidden="1" customHeight="1">
      <c r="A1108" s="120" t="str">
        <f>IF(B1108&lt;&gt;"",IF(AND(B1108&gt;=_TM1,B1108&lt;=_TM2,OR(TH!L1108="1111",TH!M1108="1111")),TH!D1108,""),"")</f>
        <v/>
      </c>
      <c r="B1108" s="12">
        <f t="shared" si="54"/>
        <v>12</v>
      </c>
      <c r="C1108" s="105">
        <f t="shared" si="55"/>
        <v>42727</v>
      </c>
      <c r="D1108" s="110" t="s">
        <v>1071</v>
      </c>
      <c r="E1108" s="472">
        <v>42727</v>
      </c>
      <c r="F1108" s="161" t="s">
        <v>811</v>
      </c>
      <c r="G1108" s="473" t="s">
        <v>912</v>
      </c>
      <c r="H1108" s="112" t="s">
        <v>1072</v>
      </c>
      <c r="I1108" s="133">
        <v>2400</v>
      </c>
      <c r="J1108" s="133">
        <v>6391.2686000887979</v>
      </c>
      <c r="K1108" s="13">
        <f t="shared" si="53"/>
        <v>15339045</v>
      </c>
      <c r="L1108" s="113" t="s">
        <v>161</v>
      </c>
      <c r="M1108" s="113" t="s">
        <v>159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63"/>
    </row>
    <row r="1109" spans="1:26" ht="15.75" hidden="1" customHeight="1">
      <c r="A1109" s="120" t="str">
        <f>IF(B1109&lt;&gt;"",IF(AND(B1109&gt;=_TM1,B1109&lt;=_TM2,OR(TH!L1109="1111",TH!M1109="1111")),TH!D1109,""),"")</f>
        <v/>
      </c>
      <c r="B1109" s="12">
        <f t="shared" si="54"/>
        <v>12</v>
      </c>
      <c r="C1109" s="105">
        <f t="shared" si="55"/>
        <v>42728</v>
      </c>
      <c r="D1109" s="110" t="s">
        <v>1071</v>
      </c>
      <c r="E1109" s="472">
        <v>42728</v>
      </c>
      <c r="F1109" s="161" t="s">
        <v>914</v>
      </c>
      <c r="G1109" s="473" t="s">
        <v>913</v>
      </c>
      <c r="H1109" s="112" t="s">
        <v>1072</v>
      </c>
      <c r="I1109" s="133">
        <v>1010</v>
      </c>
      <c r="J1109" s="133">
        <v>8673.86452869194</v>
      </c>
      <c r="K1109" s="13">
        <f t="shared" si="53"/>
        <v>8760603</v>
      </c>
      <c r="L1109" s="113" t="s">
        <v>161</v>
      </c>
      <c r="M1109" s="113" t="s">
        <v>159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63"/>
    </row>
    <row r="1110" spans="1:26" ht="15.75" hidden="1" customHeight="1">
      <c r="A1110" s="120" t="str">
        <f>IF(B1110&lt;&gt;"",IF(AND(B1110&gt;=_TM1,B1110&lt;=_TM2,OR(TH!L1110="1111",TH!M1110="1111")),TH!D1110,""),"")</f>
        <v/>
      </c>
      <c r="B1110" s="12">
        <f t="shared" si="54"/>
        <v>12</v>
      </c>
      <c r="C1110" s="105">
        <f t="shared" si="55"/>
        <v>42728</v>
      </c>
      <c r="D1110" s="110" t="s">
        <v>1071</v>
      </c>
      <c r="E1110" s="472">
        <v>42728</v>
      </c>
      <c r="F1110" s="161" t="s">
        <v>915</v>
      </c>
      <c r="G1110" s="473" t="s">
        <v>913</v>
      </c>
      <c r="H1110" s="112" t="s">
        <v>1072</v>
      </c>
      <c r="I1110" s="133">
        <v>1006</v>
      </c>
      <c r="J1110" s="133">
        <v>7456.4800334369311</v>
      </c>
      <c r="K1110" s="13">
        <f t="shared" si="53"/>
        <v>7501219</v>
      </c>
      <c r="L1110" s="113" t="s">
        <v>161</v>
      </c>
      <c r="M1110" s="113" t="s">
        <v>159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63"/>
    </row>
    <row r="1111" spans="1:26" ht="15.75" hidden="1" customHeight="1">
      <c r="A1111" s="120" t="str">
        <f>IF(B1111&lt;&gt;"",IF(AND(B1111&gt;=_TM1,B1111&lt;=_TM2,OR(TH!L1111="1111",TH!M1111="1111")),TH!D1111,""),"")</f>
        <v/>
      </c>
      <c r="B1111" s="12">
        <f t="shared" si="54"/>
        <v>12</v>
      </c>
      <c r="C1111" s="105">
        <f t="shared" si="55"/>
        <v>42728</v>
      </c>
      <c r="D1111" s="110" t="s">
        <v>1071</v>
      </c>
      <c r="E1111" s="472">
        <v>42728</v>
      </c>
      <c r="F1111" s="161" t="s">
        <v>811</v>
      </c>
      <c r="G1111" s="473" t="s">
        <v>916</v>
      </c>
      <c r="H1111" s="112" t="s">
        <v>1072</v>
      </c>
      <c r="I1111" s="135">
        <v>2400</v>
      </c>
      <c r="J1111" s="135">
        <v>6391.2686000887979</v>
      </c>
      <c r="K1111" s="13">
        <f t="shared" si="53"/>
        <v>15339045</v>
      </c>
      <c r="L1111" s="113" t="s">
        <v>161</v>
      </c>
      <c r="M1111" s="113" t="s">
        <v>159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63"/>
    </row>
    <row r="1112" spans="1:26" ht="15.75" hidden="1" customHeight="1">
      <c r="A1112" s="120" t="str">
        <f>IF(B1112&lt;&gt;"",IF(AND(B1112&gt;=_TM1,B1112&lt;=_TM2,OR(TH!L1112="1111",TH!M1112="1111")),TH!D1112,""),"")</f>
        <v/>
      </c>
      <c r="B1112" s="12">
        <f t="shared" si="54"/>
        <v>12</v>
      </c>
      <c r="C1112" s="105">
        <f t="shared" si="55"/>
        <v>42729</v>
      </c>
      <c r="D1112" s="110" t="s">
        <v>1071</v>
      </c>
      <c r="E1112" s="472">
        <v>42729</v>
      </c>
      <c r="F1112" s="161" t="s">
        <v>918</v>
      </c>
      <c r="G1112" s="473" t="s">
        <v>917</v>
      </c>
      <c r="H1112" s="112" t="s">
        <v>1072</v>
      </c>
      <c r="I1112" s="133">
        <v>1070</v>
      </c>
      <c r="J1112" s="133">
        <v>7304.3069715300553</v>
      </c>
      <c r="K1112" s="13">
        <f t="shared" si="53"/>
        <v>7815608</v>
      </c>
      <c r="L1112" s="113" t="s">
        <v>161</v>
      </c>
      <c r="M1112" s="113" t="s">
        <v>159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63"/>
    </row>
    <row r="1113" spans="1:26" ht="15.75" hidden="1" customHeight="1">
      <c r="A1113" s="120" t="str">
        <f>IF(B1113&lt;&gt;"",IF(AND(B1113&gt;=_TM1,B1113&lt;=_TM2,OR(TH!L1113="1111",TH!M1113="1111")),TH!D1113,""),"")</f>
        <v/>
      </c>
      <c r="B1113" s="12">
        <f t="shared" si="54"/>
        <v>12</v>
      </c>
      <c r="C1113" s="105">
        <f t="shared" si="55"/>
        <v>42729</v>
      </c>
      <c r="D1113" s="110" t="s">
        <v>1071</v>
      </c>
      <c r="E1113" s="472">
        <v>42729</v>
      </c>
      <c r="F1113" s="161" t="s">
        <v>811</v>
      </c>
      <c r="G1113" s="473" t="s">
        <v>920</v>
      </c>
      <c r="H1113" s="112" t="s">
        <v>1072</v>
      </c>
      <c r="I1113" s="133">
        <v>2400</v>
      </c>
      <c r="J1113" s="133">
        <v>6391.2686000887979</v>
      </c>
      <c r="K1113" s="13">
        <f t="shared" si="53"/>
        <v>15339045</v>
      </c>
      <c r="L1113" s="113" t="s">
        <v>161</v>
      </c>
      <c r="M1113" s="113" t="s">
        <v>159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63"/>
    </row>
    <row r="1114" spans="1:26" ht="15.75" hidden="1" customHeight="1">
      <c r="A1114" s="120" t="str">
        <f>IF(B1114&lt;&gt;"",IF(AND(B1114&gt;=_TM1,B1114&lt;=_TM2,OR(TH!L1114="1111",TH!M1114="1111")),TH!D1114,""),"")</f>
        <v/>
      </c>
      <c r="B1114" s="12">
        <f t="shared" si="54"/>
        <v>12</v>
      </c>
      <c r="C1114" s="105">
        <f t="shared" si="55"/>
        <v>42730</v>
      </c>
      <c r="D1114" s="110" t="s">
        <v>1071</v>
      </c>
      <c r="E1114" s="472">
        <v>42730</v>
      </c>
      <c r="F1114" s="161" t="s">
        <v>811</v>
      </c>
      <c r="G1114" s="473" t="s">
        <v>921</v>
      </c>
      <c r="H1114" s="112" t="s">
        <v>1072</v>
      </c>
      <c r="I1114" s="133">
        <v>1200</v>
      </c>
      <c r="J1114" s="133">
        <v>6391.2686000887979</v>
      </c>
      <c r="K1114" s="13">
        <f t="shared" si="53"/>
        <v>7669522</v>
      </c>
      <c r="L1114" s="113" t="s">
        <v>161</v>
      </c>
      <c r="M1114" s="113" t="s">
        <v>159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63"/>
    </row>
    <row r="1115" spans="1:26" ht="15.75" hidden="1" customHeight="1">
      <c r="A1115" s="120" t="str">
        <f>IF(B1115&lt;&gt;"",IF(AND(B1115&gt;=_TM1,B1115&lt;=_TM2,OR(TH!L1115="1111",TH!M1115="1111")),TH!D1115,""),"")</f>
        <v/>
      </c>
      <c r="B1115" s="12">
        <f t="shared" si="54"/>
        <v>12</v>
      </c>
      <c r="C1115" s="105">
        <f t="shared" si="55"/>
        <v>42731</v>
      </c>
      <c r="D1115" s="110" t="s">
        <v>1071</v>
      </c>
      <c r="E1115" s="472">
        <v>42731</v>
      </c>
      <c r="F1115" s="161" t="s">
        <v>811</v>
      </c>
      <c r="G1115" s="473" t="s">
        <v>922</v>
      </c>
      <c r="H1115" s="112" t="s">
        <v>1072</v>
      </c>
      <c r="I1115" s="134">
        <v>1380</v>
      </c>
      <c r="J1115" s="135">
        <v>6391.2686000887979</v>
      </c>
      <c r="K1115" s="13">
        <f t="shared" si="53"/>
        <v>8819951</v>
      </c>
      <c r="L1115" s="113" t="s">
        <v>161</v>
      </c>
      <c r="M1115" s="113" t="s">
        <v>159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63"/>
    </row>
    <row r="1116" spans="1:26" ht="15.75" hidden="1" customHeight="1">
      <c r="A1116" s="120" t="str">
        <f>IF(B1116&lt;&gt;"",IF(AND(B1116&gt;=_TM1,B1116&lt;=_TM2,OR(TH!L1116="1111",TH!M1116="1111")),TH!D1116,""),"")</f>
        <v/>
      </c>
      <c r="B1116" s="12">
        <f t="shared" si="54"/>
        <v>12</v>
      </c>
      <c r="C1116" s="105">
        <f t="shared" si="55"/>
        <v>42732</v>
      </c>
      <c r="D1116" s="110" t="s">
        <v>1071</v>
      </c>
      <c r="E1116" s="472">
        <v>42732</v>
      </c>
      <c r="F1116" s="161" t="s">
        <v>811</v>
      </c>
      <c r="G1116" s="473" t="s">
        <v>923</v>
      </c>
      <c r="H1116" s="112" t="s">
        <v>1072</v>
      </c>
      <c r="I1116" s="133">
        <v>2030</v>
      </c>
      <c r="J1116" s="135">
        <v>6391.2686000887979</v>
      </c>
      <c r="K1116" s="13">
        <f t="shared" si="53"/>
        <v>12974275</v>
      </c>
      <c r="L1116" s="113" t="s">
        <v>161</v>
      </c>
      <c r="M1116" s="113" t="s">
        <v>159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63"/>
    </row>
    <row r="1117" spans="1:26" ht="15.75" hidden="1" customHeight="1">
      <c r="A1117" s="120" t="str">
        <f>IF(B1117&lt;&gt;"",IF(AND(B1117&gt;=_TM1,B1117&lt;=_TM2,OR(TH!L1117="1111",TH!M1117="1111")),TH!D1117,""),"")</f>
        <v/>
      </c>
      <c r="B1117" s="12">
        <f t="shared" si="54"/>
        <v>12</v>
      </c>
      <c r="C1117" s="105">
        <f t="shared" si="55"/>
        <v>42732</v>
      </c>
      <c r="D1117" s="110" t="s">
        <v>1071</v>
      </c>
      <c r="E1117" s="472">
        <v>42732</v>
      </c>
      <c r="F1117" s="161" t="s">
        <v>959</v>
      </c>
      <c r="G1117" s="473" t="s">
        <v>958</v>
      </c>
      <c r="H1117" s="112" t="s">
        <v>1072</v>
      </c>
      <c r="I1117" s="133">
        <v>188</v>
      </c>
      <c r="J1117" s="133">
        <v>9206.4702453660066</v>
      </c>
      <c r="K1117" s="13">
        <f t="shared" si="53"/>
        <v>1730816</v>
      </c>
      <c r="L1117" s="113" t="s">
        <v>161</v>
      </c>
      <c r="M1117" s="113" t="s">
        <v>159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63"/>
    </row>
    <row r="1118" spans="1:26" ht="15.75" hidden="1" customHeight="1">
      <c r="A1118" s="120" t="str">
        <f>IF(B1118&lt;&gt;"",IF(AND(B1118&gt;=_TM1,B1118&lt;=_TM2,OR(TH!L1118="1111",TH!M1118="1111")),TH!D1118,""),"")</f>
        <v/>
      </c>
      <c r="B1118" s="12">
        <f t="shared" si="54"/>
        <v>12</v>
      </c>
      <c r="C1118" s="105">
        <f t="shared" si="55"/>
        <v>42732</v>
      </c>
      <c r="D1118" s="110" t="s">
        <v>1071</v>
      </c>
      <c r="E1118" s="472">
        <v>42732</v>
      </c>
      <c r="F1118" s="161" t="s">
        <v>509</v>
      </c>
      <c r="G1118" s="473" t="s">
        <v>925</v>
      </c>
      <c r="H1118" s="112" t="s">
        <v>1072</v>
      </c>
      <c r="I1118" s="133">
        <v>209</v>
      </c>
      <c r="J1118" s="133">
        <v>10195.595147760703</v>
      </c>
      <c r="K1118" s="13">
        <f t="shared" si="53"/>
        <v>2130879</v>
      </c>
      <c r="L1118" s="113" t="s">
        <v>161</v>
      </c>
      <c r="M1118" s="113" t="s">
        <v>159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63"/>
    </row>
    <row r="1119" spans="1:26" ht="15.75" hidden="1" customHeight="1">
      <c r="A1119" s="120" t="str">
        <f>IF(B1119&lt;&gt;"",IF(AND(B1119&gt;=_TM1,B1119&lt;=_TM2,OR(TH!L1119="1111",TH!M1119="1111")),TH!D1119,""),"")</f>
        <v/>
      </c>
      <c r="B1119" s="12">
        <f t="shared" si="54"/>
        <v>12</v>
      </c>
      <c r="C1119" s="105">
        <f t="shared" si="55"/>
        <v>42732</v>
      </c>
      <c r="D1119" s="110" t="s">
        <v>1071</v>
      </c>
      <c r="E1119" s="472">
        <v>42732</v>
      </c>
      <c r="F1119" s="161" t="s">
        <v>926</v>
      </c>
      <c r="G1119" s="473" t="s">
        <v>924</v>
      </c>
      <c r="H1119" s="112" t="s">
        <v>1072</v>
      </c>
      <c r="I1119" s="133">
        <v>244</v>
      </c>
      <c r="J1119" s="133">
        <v>11108.63351920196</v>
      </c>
      <c r="K1119" s="13">
        <f t="shared" si="53"/>
        <v>2710507</v>
      </c>
      <c r="L1119" s="113" t="s">
        <v>161</v>
      </c>
      <c r="M1119" s="113" t="s">
        <v>159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63"/>
    </row>
    <row r="1120" spans="1:26" ht="15.75" hidden="1" customHeight="1">
      <c r="A1120" s="120" t="str">
        <f>IF(B1120&lt;&gt;"",IF(AND(B1120&gt;=_TM1,B1120&lt;=_TM2,OR(TH!L1120="1111",TH!M1120="1111")),TH!D1120,""),"")</f>
        <v/>
      </c>
      <c r="B1120" s="12">
        <f t="shared" si="54"/>
        <v>12</v>
      </c>
      <c r="C1120" s="105">
        <f t="shared" si="55"/>
        <v>42732</v>
      </c>
      <c r="D1120" s="110" t="s">
        <v>1071</v>
      </c>
      <c r="E1120" s="472">
        <v>42732</v>
      </c>
      <c r="F1120" s="161" t="s">
        <v>927</v>
      </c>
      <c r="G1120" s="473" t="s">
        <v>924</v>
      </c>
      <c r="H1120" s="112" t="s">
        <v>1072</v>
      </c>
      <c r="I1120" s="133">
        <v>244</v>
      </c>
      <c r="J1120" s="133">
        <v>10423.854740621018</v>
      </c>
      <c r="K1120" s="13">
        <f t="shared" si="53"/>
        <v>2543421</v>
      </c>
      <c r="L1120" s="113" t="s">
        <v>161</v>
      </c>
      <c r="M1120" s="113" t="s">
        <v>159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63"/>
    </row>
    <row r="1121" spans="1:26" ht="15.75" hidden="1" customHeight="1">
      <c r="A1121" s="120" t="str">
        <f>IF(B1121&lt;&gt;"",IF(AND(B1121&gt;=_TM1,B1121&lt;=_TM2,OR(TH!L1121="1111",TH!M1121="1111")),TH!D1121,""),"")</f>
        <v/>
      </c>
      <c r="B1121" s="12">
        <f t="shared" si="54"/>
        <v>12</v>
      </c>
      <c r="C1121" s="105">
        <f t="shared" si="55"/>
        <v>42732</v>
      </c>
      <c r="D1121" s="110" t="s">
        <v>1071</v>
      </c>
      <c r="E1121" s="472">
        <v>42732</v>
      </c>
      <c r="F1121" s="161" t="s">
        <v>928</v>
      </c>
      <c r="G1121" s="473" t="s">
        <v>924</v>
      </c>
      <c r="H1121" s="112" t="s">
        <v>1072</v>
      </c>
      <c r="I1121" s="133">
        <v>244</v>
      </c>
      <c r="J1121" s="133">
        <v>1141.297964301571</v>
      </c>
      <c r="K1121" s="13">
        <f t="shared" si="53"/>
        <v>278477</v>
      </c>
      <c r="L1121" s="113" t="s">
        <v>161</v>
      </c>
      <c r="M1121" s="113" t="s">
        <v>159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63"/>
    </row>
    <row r="1122" spans="1:26" ht="15.75" hidden="1" customHeight="1">
      <c r="A1122" s="120" t="str">
        <f>IF(B1122&lt;&gt;"",IF(AND(B1122&gt;=_TM1,B1122&lt;=_TM2,OR(TH!L1122="1111",TH!M1122="1111")),TH!D1122,""),"")</f>
        <v/>
      </c>
      <c r="B1122" s="12">
        <f t="shared" si="54"/>
        <v>12</v>
      </c>
      <c r="C1122" s="105">
        <f t="shared" si="55"/>
        <v>42732</v>
      </c>
      <c r="D1122" s="110" t="s">
        <v>1071</v>
      </c>
      <c r="E1122" s="472">
        <v>42732</v>
      </c>
      <c r="F1122" s="161" t="s">
        <v>929</v>
      </c>
      <c r="G1122" s="473" t="s">
        <v>924</v>
      </c>
      <c r="H1122" s="112" t="s">
        <v>1072</v>
      </c>
      <c r="I1122" s="131">
        <v>244</v>
      </c>
      <c r="J1122" s="132">
        <v>989.12490239469503</v>
      </c>
      <c r="K1122" s="13">
        <f t="shared" si="53"/>
        <v>241346</v>
      </c>
      <c r="L1122" s="113" t="s">
        <v>161</v>
      </c>
      <c r="M1122" s="113" t="s">
        <v>159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63"/>
    </row>
    <row r="1123" spans="1:26" ht="15.75" hidden="1" customHeight="1">
      <c r="A1123" s="120" t="str">
        <f>IF(B1123&lt;&gt;"",IF(AND(B1123&gt;=_TM1,B1123&lt;=_TM2,OR(TH!L1123="1111",TH!M1123="1111")),TH!D1123,""),"")</f>
        <v/>
      </c>
      <c r="B1123" s="12">
        <f t="shared" si="54"/>
        <v>12</v>
      </c>
      <c r="C1123" s="105">
        <f t="shared" si="55"/>
        <v>42732</v>
      </c>
      <c r="D1123" s="110" t="s">
        <v>1071</v>
      </c>
      <c r="E1123" s="472">
        <v>42732</v>
      </c>
      <c r="F1123" s="161" t="s">
        <v>930</v>
      </c>
      <c r="G1123" s="473" t="s">
        <v>924</v>
      </c>
      <c r="H1123" s="112" t="s">
        <v>1072</v>
      </c>
      <c r="I1123" s="133">
        <v>244</v>
      </c>
      <c r="J1123" s="133">
        <v>760.8653095343808</v>
      </c>
      <c r="K1123" s="13">
        <f t="shared" si="53"/>
        <v>185651</v>
      </c>
      <c r="L1123" s="113" t="s">
        <v>161</v>
      </c>
      <c r="M1123" s="113" t="s">
        <v>159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63"/>
    </row>
    <row r="1124" spans="1:26" ht="15.75" hidden="1" customHeight="1">
      <c r="A1124" s="120" t="str">
        <f>IF(B1124&lt;&gt;"",IF(AND(B1124&gt;=_TM1,B1124&lt;=_TM2,OR(TH!L1124="1111",TH!M1124="1111")),TH!D1124,""),"")</f>
        <v/>
      </c>
      <c r="B1124" s="12">
        <f t="shared" si="54"/>
        <v>12</v>
      </c>
      <c r="C1124" s="105">
        <f t="shared" si="55"/>
        <v>42732</v>
      </c>
      <c r="D1124" s="110" t="s">
        <v>1071</v>
      </c>
      <c r="E1124" s="472">
        <v>42732</v>
      </c>
      <c r="F1124" s="161" t="s">
        <v>931</v>
      </c>
      <c r="G1124" s="473" t="s">
        <v>924</v>
      </c>
      <c r="H1124" s="112" t="s">
        <v>1072</v>
      </c>
      <c r="I1124" s="133">
        <v>244</v>
      </c>
      <c r="J1124" s="133">
        <v>608.69224762750468</v>
      </c>
      <c r="K1124" s="13">
        <f t="shared" si="53"/>
        <v>148521</v>
      </c>
      <c r="L1124" s="113" t="s">
        <v>161</v>
      </c>
      <c r="M1124" s="113" t="s">
        <v>159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63"/>
    </row>
    <row r="1125" spans="1:26" ht="15.75" hidden="1" customHeight="1">
      <c r="A1125" s="120" t="str">
        <f>IF(B1125&lt;&gt;"",IF(AND(B1125&gt;=_TM1,B1125&lt;=_TM2,OR(TH!L1125="1111",TH!M1125="1111")),TH!D1125,""),"")</f>
        <v/>
      </c>
      <c r="B1125" s="12">
        <f t="shared" si="54"/>
        <v>12</v>
      </c>
      <c r="C1125" s="105">
        <f t="shared" si="55"/>
        <v>42733</v>
      </c>
      <c r="D1125" s="110" t="s">
        <v>1071</v>
      </c>
      <c r="E1125" s="472">
        <v>42733</v>
      </c>
      <c r="F1125" s="161" t="s">
        <v>935</v>
      </c>
      <c r="G1125" s="473" t="s">
        <v>932</v>
      </c>
      <c r="H1125" s="112" t="s">
        <v>1072</v>
      </c>
      <c r="I1125" s="133">
        <v>650</v>
      </c>
      <c r="J1125" s="133">
        <v>836.95184048781891</v>
      </c>
      <c r="K1125" s="13">
        <f t="shared" si="53"/>
        <v>544019</v>
      </c>
      <c r="L1125" s="113" t="s">
        <v>161</v>
      </c>
      <c r="M1125" s="113" t="s">
        <v>159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63"/>
    </row>
    <row r="1126" spans="1:26" ht="15.75" hidden="1" customHeight="1">
      <c r="A1126" s="120" t="str">
        <f>IF(B1126&lt;&gt;"",IF(AND(B1126&gt;=_TM1,B1126&lt;=_TM2,OR(TH!L1126="1111",TH!M1126="1111")),TH!D1126,""),"")</f>
        <v/>
      </c>
      <c r="B1126" s="12">
        <f t="shared" si="54"/>
        <v>12</v>
      </c>
      <c r="C1126" s="105">
        <f t="shared" si="55"/>
        <v>42734</v>
      </c>
      <c r="D1126" s="110" t="s">
        <v>1071</v>
      </c>
      <c r="E1126" s="472">
        <v>42734</v>
      </c>
      <c r="F1126" s="161" t="s">
        <v>522</v>
      </c>
      <c r="G1126" s="473" t="s">
        <v>934</v>
      </c>
      <c r="H1126" s="112" t="s">
        <v>1072</v>
      </c>
      <c r="I1126" s="133">
        <v>525</v>
      </c>
      <c r="J1126" s="133">
        <v>5554.3167596009798</v>
      </c>
      <c r="K1126" s="13">
        <f t="shared" ref="K1126:K1196" si="56">ROUND(I1126*J1126,0)</f>
        <v>2916016</v>
      </c>
      <c r="L1126" s="113" t="s">
        <v>161</v>
      </c>
      <c r="M1126" s="113" t="s">
        <v>159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63"/>
    </row>
    <row r="1127" spans="1:26" ht="15.75" hidden="1" customHeight="1">
      <c r="A1127" s="120" t="str">
        <f>IF(B1127&lt;&gt;"",IF(AND(B1127&gt;=_TM1,B1127&lt;=_TM2,OR(TH!L1127="1111",TH!M1127="1111")),TH!D1127,""),"")</f>
        <v/>
      </c>
      <c r="B1127" s="12">
        <f t="shared" ref="B1127:B1133" si="57">IF(C1127&lt;&gt;"",MONTH(C1127),"")</f>
        <v>12</v>
      </c>
      <c r="C1127" s="105">
        <f t="shared" ref="C1127:C1133" si="58">E1127</f>
        <v>42734</v>
      </c>
      <c r="D1127" s="110" t="s">
        <v>1071</v>
      </c>
      <c r="E1127" s="472">
        <v>42734</v>
      </c>
      <c r="F1127" s="161" t="s">
        <v>1083</v>
      </c>
      <c r="G1127" s="473" t="s">
        <v>1081</v>
      </c>
      <c r="H1127" s="112" t="s">
        <v>1072</v>
      </c>
      <c r="I1127" s="133">
        <v>7250</v>
      </c>
      <c r="J1127" s="133">
        <v>2130.4228666962663</v>
      </c>
      <c r="K1127" s="13">
        <f t="shared" si="56"/>
        <v>15445566</v>
      </c>
      <c r="L1127" s="113" t="s">
        <v>161</v>
      </c>
      <c r="M1127" s="113" t="s">
        <v>159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63"/>
    </row>
    <row r="1128" spans="1:26" ht="15.75" hidden="1" customHeight="1">
      <c r="A1128" s="120" t="str">
        <f>IF(B1128&lt;&gt;"",IF(AND(B1128&gt;=_TM1,B1128&lt;=_TM2,OR(TH!L1128="1111",TH!M1128="1111")),TH!D1128,""),"")</f>
        <v/>
      </c>
      <c r="B1128" s="12">
        <f t="shared" si="57"/>
        <v>12</v>
      </c>
      <c r="C1128" s="105">
        <f t="shared" si="58"/>
        <v>42734</v>
      </c>
      <c r="D1128" s="110" t="s">
        <v>1071</v>
      </c>
      <c r="E1128" s="472">
        <v>42734</v>
      </c>
      <c r="F1128" s="161" t="s">
        <v>1084</v>
      </c>
      <c r="G1128" s="473" t="s">
        <v>1081</v>
      </c>
      <c r="H1128" s="112" t="s">
        <v>1072</v>
      </c>
      <c r="I1128" s="133">
        <v>9730</v>
      </c>
      <c r="J1128" s="133">
        <v>1673.9036809756378</v>
      </c>
      <c r="K1128" s="13">
        <f t="shared" si="56"/>
        <v>16287083</v>
      </c>
      <c r="L1128" s="113" t="s">
        <v>161</v>
      </c>
      <c r="M1128" s="113" t="s">
        <v>159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63"/>
    </row>
    <row r="1129" spans="1:26" ht="15.75" hidden="1" customHeight="1">
      <c r="A1129" s="120" t="str">
        <f>IF(B1129&lt;&gt;"",IF(AND(B1129&gt;=_TM1,B1129&lt;=_TM2,OR(TH!L1129="1111",TH!M1129="1111")),TH!D1129,""),"")</f>
        <v/>
      </c>
      <c r="B1129" s="12">
        <f t="shared" si="57"/>
        <v>12</v>
      </c>
      <c r="C1129" s="105">
        <f t="shared" si="58"/>
        <v>42734</v>
      </c>
      <c r="D1129" s="110" t="s">
        <v>1071</v>
      </c>
      <c r="E1129" s="472">
        <v>42734</v>
      </c>
      <c r="F1129" s="161" t="s">
        <v>1085</v>
      </c>
      <c r="G1129" s="473" t="s">
        <v>1081</v>
      </c>
      <c r="H1129" s="112" t="s">
        <v>1072</v>
      </c>
      <c r="I1129" s="131">
        <v>375</v>
      </c>
      <c r="J1129" s="132">
        <v>380.4326547671904</v>
      </c>
      <c r="K1129" s="13">
        <f t="shared" si="56"/>
        <v>142662</v>
      </c>
      <c r="L1129" s="113" t="s">
        <v>161</v>
      </c>
      <c r="M1129" s="113" t="s">
        <v>159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63"/>
    </row>
    <row r="1130" spans="1:26" ht="15.75" hidden="1" customHeight="1">
      <c r="A1130" s="120" t="str">
        <f>IF(B1130&lt;&gt;"",IF(AND(B1130&gt;=_TM1,B1130&lt;=_TM2,OR(TH!L1130="1111",TH!M1130="1111")),TH!D1130,""),"")</f>
        <v/>
      </c>
      <c r="B1130" s="12">
        <f t="shared" si="57"/>
        <v>12</v>
      </c>
      <c r="C1130" s="105">
        <f t="shared" si="58"/>
        <v>42734</v>
      </c>
      <c r="D1130" s="110" t="s">
        <v>1071</v>
      </c>
      <c r="E1130" s="472">
        <v>42734</v>
      </c>
      <c r="F1130" s="161" t="s">
        <v>1086</v>
      </c>
      <c r="G1130" s="473" t="s">
        <v>1081</v>
      </c>
      <c r="H1130" s="112" t="s">
        <v>1072</v>
      </c>
      <c r="I1130" s="133">
        <v>500</v>
      </c>
      <c r="J1130" s="133">
        <v>21912.920914590166</v>
      </c>
      <c r="K1130" s="13">
        <f t="shared" si="56"/>
        <v>10956460</v>
      </c>
      <c r="L1130" s="113" t="s">
        <v>161</v>
      </c>
      <c r="M1130" s="113" t="s">
        <v>159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63"/>
    </row>
    <row r="1131" spans="1:26" ht="15.75" hidden="1" customHeight="1">
      <c r="A1131" s="120" t="str">
        <f>IF(B1131&lt;&gt;"",IF(AND(B1131&gt;=_TM1,B1131&lt;=_TM2,OR(TH!L1131="1111",TH!M1131="1111")),TH!D1131,""),"")</f>
        <v/>
      </c>
      <c r="B1131" s="12">
        <f t="shared" si="57"/>
        <v>12</v>
      </c>
      <c r="C1131" s="105">
        <f t="shared" si="58"/>
        <v>42734</v>
      </c>
      <c r="D1131" s="110" t="s">
        <v>1071</v>
      </c>
      <c r="E1131" s="472">
        <v>42734</v>
      </c>
      <c r="F1131" s="161" t="s">
        <v>1087</v>
      </c>
      <c r="G1131" s="473" t="s">
        <v>1081</v>
      </c>
      <c r="H1131" s="112" t="s">
        <v>1072</v>
      </c>
      <c r="I1131" s="133">
        <v>2375</v>
      </c>
      <c r="J1131" s="133">
        <v>1217.3844952550094</v>
      </c>
      <c r="K1131" s="13">
        <f t="shared" si="56"/>
        <v>2891288</v>
      </c>
      <c r="L1131" s="113" t="s">
        <v>161</v>
      </c>
      <c r="M1131" s="113" t="s">
        <v>159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63"/>
    </row>
    <row r="1132" spans="1:26" ht="15.75" hidden="1" customHeight="1">
      <c r="A1132" s="120" t="str">
        <f>IF(B1132&lt;&gt;"",IF(AND(B1132&gt;=_TM1,B1132&lt;=_TM2,OR(TH!L1132="1111",TH!M1132="1111")),TH!D1132,""),"")</f>
        <v/>
      </c>
      <c r="B1132" s="12">
        <f t="shared" si="57"/>
        <v>12</v>
      </c>
      <c r="C1132" s="105">
        <f t="shared" si="58"/>
        <v>42734</v>
      </c>
      <c r="D1132" s="110" t="s">
        <v>1071</v>
      </c>
      <c r="E1132" s="472">
        <v>42734</v>
      </c>
      <c r="F1132" s="161" t="s">
        <v>1088</v>
      </c>
      <c r="G1132" s="473" t="s">
        <v>1081</v>
      </c>
      <c r="H1132" s="112" t="s">
        <v>1072</v>
      </c>
      <c r="I1132" s="133">
        <v>200</v>
      </c>
      <c r="J1132" s="133">
        <v>2739.1151143237707</v>
      </c>
      <c r="K1132" s="13">
        <f t="shared" si="56"/>
        <v>547823</v>
      </c>
      <c r="L1132" s="113" t="s">
        <v>161</v>
      </c>
      <c r="M1132" s="113" t="s">
        <v>159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63"/>
    </row>
    <row r="1133" spans="1:26" ht="15.75" hidden="1" customHeight="1">
      <c r="A1133" s="120" t="str">
        <f>IF(B1133&lt;&gt;"",IF(AND(B1133&gt;=_TM1,B1133&lt;=_TM2,OR(TH!L1133="1111",TH!M1133="1111")),TH!D1133,""),"")</f>
        <v/>
      </c>
      <c r="B1133" s="12">
        <f t="shared" si="57"/>
        <v>12</v>
      </c>
      <c r="C1133" s="105">
        <f t="shared" si="58"/>
        <v>42734</v>
      </c>
      <c r="D1133" s="110" t="s">
        <v>1071</v>
      </c>
      <c r="E1133" s="472">
        <v>42734</v>
      </c>
      <c r="F1133" s="161" t="s">
        <v>1089</v>
      </c>
      <c r="G1133" s="473" t="s">
        <v>1081</v>
      </c>
      <c r="H1133" s="112" t="s">
        <v>1072</v>
      </c>
      <c r="I1133" s="133">
        <v>2000</v>
      </c>
      <c r="J1133" s="133">
        <v>1065.2114333481331</v>
      </c>
      <c r="K1133" s="13">
        <f t="shared" ref="K1133" si="59">ROUND(I1133*J1133,0)</f>
        <v>2130423</v>
      </c>
      <c r="L1133" s="113" t="s">
        <v>161</v>
      </c>
      <c r="M1133" s="113" t="s">
        <v>159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63"/>
    </row>
    <row r="1134" spans="1:26" ht="15.75" hidden="1" customHeight="1">
      <c r="A1134" s="120" t="str">
        <f>IF(B1134&lt;&gt;"",IF(AND(B1134&gt;=_TM1,B1134&lt;=_TM2,OR(TH!L1134="1111",TH!M1134="1111")),TH!D1134,""),"")</f>
        <v/>
      </c>
      <c r="B1134" s="12">
        <f t="shared" si="54"/>
        <v>12</v>
      </c>
      <c r="C1134" s="105">
        <f t="shared" si="55"/>
        <v>42735</v>
      </c>
      <c r="D1134" s="110" t="s">
        <v>1071</v>
      </c>
      <c r="E1134" s="472">
        <v>42735</v>
      </c>
      <c r="F1134" s="161" t="s">
        <v>500</v>
      </c>
      <c r="G1134" s="473" t="s">
        <v>942</v>
      </c>
      <c r="H1134" s="112" t="s">
        <v>1072</v>
      </c>
      <c r="I1134" s="133">
        <v>1808</v>
      </c>
      <c r="J1134" s="133">
        <v>8673.86452869194</v>
      </c>
      <c r="K1134" s="13">
        <f t="shared" si="56"/>
        <v>15682347</v>
      </c>
      <c r="L1134" s="113" t="s">
        <v>161</v>
      </c>
      <c r="M1134" s="113" t="s">
        <v>159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63"/>
    </row>
    <row r="1135" spans="1:26" ht="15.75" hidden="1" customHeight="1">
      <c r="A1135" s="120" t="str">
        <f>IF(B1135&lt;&gt;"",IF(AND(B1135&gt;=_TM1,B1135&lt;=_TM2,OR(TH!L1135="1111",TH!M1135="1111")),TH!D1135,""),"")</f>
        <v/>
      </c>
      <c r="B1135" s="12">
        <f t="shared" ref="B1135:B1326" si="60">IF(C1135&lt;&gt;"",MONTH(C1135),"")</f>
        <v>12</v>
      </c>
      <c r="C1135" s="105">
        <f t="shared" si="55"/>
        <v>42735</v>
      </c>
      <c r="D1135" s="110" t="s">
        <v>1071</v>
      </c>
      <c r="E1135" s="472">
        <v>42735</v>
      </c>
      <c r="F1135" s="161" t="s">
        <v>375</v>
      </c>
      <c r="G1135" s="473" t="s">
        <v>942</v>
      </c>
      <c r="H1135" s="112" t="s">
        <v>1072</v>
      </c>
      <c r="I1135" s="133">
        <v>3616</v>
      </c>
      <c r="J1135" s="133">
        <v>684.77877858094269</v>
      </c>
      <c r="K1135" s="13">
        <f t="shared" si="56"/>
        <v>2476160</v>
      </c>
      <c r="L1135" s="113" t="s">
        <v>161</v>
      </c>
      <c r="M1135" s="113" t="s">
        <v>159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63"/>
    </row>
    <row r="1136" spans="1:26" ht="15.75" hidden="1" customHeight="1">
      <c r="A1136" s="120" t="str">
        <f>IF(B1136&lt;&gt;"",IF(AND(B1136&gt;=_TM1,B1136&lt;=_TM2,OR(TH!L1136="1111",TH!M1136="1111")),TH!D1136,""),"")</f>
        <v/>
      </c>
      <c r="B1136" s="542">
        <f t="shared" si="60"/>
        <v>7</v>
      </c>
      <c r="C1136" s="543">
        <f>E1136</f>
        <v>42566</v>
      </c>
      <c r="D1136" s="544" t="s">
        <v>1020</v>
      </c>
      <c r="E1136" s="595">
        <v>42566</v>
      </c>
      <c r="F1136" s="596" t="s">
        <v>491</v>
      </c>
      <c r="G1136" s="597" t="s">
        <v>697</v>
      </c>
      <c r="H1136" s="598" t="s">
        <v>1073</v>
      </c>
      <c r="I1136" s="548">
        <v>73</v>
      </c>
      <c r="J1136" s="548">
        <v>43030.791972046798</v>
      </c>
      <c r="K1136" s="551">
        <f t="shared" si="56"/>
        <v>3141248</v>
      </c>
      <c r="L1136" s="556" t="s">
        <v>166</v>
      </c>
      <c r="M1136" s="556" t="s">
        <v>161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65"/>
    </row>
    <row r="1137" spans="1:26" ht="15.75" hidden="1" customHeight="1">
      <c r="A1137" s="120" t="str">
        <f>IF(B1137&lt;&gt;"",IF(AND(B1137&gt;=_TM1,B1137&lt;=_TM2,OR(TH!L1137="1111",TH!M1137="1111")),TH!D1137,""),"")</f>
        <v/>
      </c>
      <c r="B1137" s="568">
        <f t="shared" si="60"/>
        <v>7</v>
      </c>
      <c r="C1137" s="569">
        <f t="shared" ref="C1137:C1200" si="61">E1137</f>
        <v>42566</v>
      </c>
      <c r="D1137" s="552" t="s">
        <v>1020</v>
      </c>
      <c r="E1137" s="591">
        <v>42566</v>
      </c>
      <c r="F1137" s="592" t="s">
        <v>495</v>
      </c>
      <c r="G1137" s="593" t="s">
        <v>698</v>
      </c>
      <c r="H1137" s="555" t="s">
        <v>1073</v>
      </c>
      <c r="I1137" s="572">
        <v>100</v>
      </c>
      <c r="J1137" s="572">
        <v>32314.311212724799</v>
      </c>
      <c r="K1137" s="21">
        <f t="shared" si="56"/>
        <v>3231431</v>
      </c>
      <c r="L1137" s="550" t="s">
        <v>166</v>
      </c>
      <c r="M1137" s="550" t="s">
        <v>161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63"/>
    </row>
    <row r="1138" spans="1:26" ht="15.75" hidden="1" customHeight="1">
      <c r="A1138" s="120" t="str">
        <f>IF(B1138&lt;&gt;"",IF(AND(B1138&gt;=_TM1,B1138&lt;=_TM2,OR(TH!L1138="1111",TH!M1138="1111")),TH!D1138,""),"")</f>
        <v/>
      </c>
      <c r="B1138" s="568">
        <f t="shared" si="60"/>
        <v>7</v>
      </c>
      <c r="C1138" s="569">
        <f t="shared" si="61"/>
        <v>42566</v>
      </c>
      <c r="D1138" s="552" t="s">
        <v>1020</v>
      </c>
      <c r="E1138" s="591">
        <v>42566</v>
      </c>
      <c r="F1138" s="592" t="s">
        <v>496</v>
      </c>
      <c r="G1138" s="593" t="s">
        <v>698</v>
      </c>
      <c r="H1138" s="555" t="s">
        <v>1073</v>
      </c>
      <c r="I1138" s="131">
        <v>116</v>
      </c>
      <c r="J1138" s="131">
        <v>62320.457338826389</v>
      </c>
      <c r="K1138" s="21">
        <f t="shared" si="56"/>
        <v>7229173</v>
      </c>
      <c r="L1138" s="550" t="s">
        <v>166</v>
      </c>
      <c r="M1138" s="550" t="s">
        <v>161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63"/>
    </row>
    <row r="1139" spans="1:26" ht="15.75" hidden="1" customHeight="1">
      <c r="A1139" s="120" t="str">
        <f>IF(B1139&lt;&gt;"",IF(AND(B1139&gt;=_TM1,B1139&lt;=_TM2,OR(TH!L1139="1111",TH!M1139="1111")),TH!D1139,""),"")</f>
        <v/>
      </c>
      <c r="B1139" s="568">
        <f t="shared" si="60"/>
        <v>7</v>
      </c>
      <c r="C1139" s="569">
        <f t="shared" si="61"/>
        <v>42566</v>
      </c>
      <c r="D1139" s="552" t="s">
        <v>1020</v>
      </c>
      <c r="E1139" s="591">
        <v>42566</v>
      </c>
      <c r="F1139" s="592" t="s">
        <v>497</v>
      </c>
      <c r="G1139" s="593" t="s">
        <v>699</v>
      </c>
      <c r="H1139" s="555" t="s">
        <v>1073</v>
      </c>
      <c r="I1139" s="131">
        <v>220</v>
      </c>
      <c r="J1139" s="131">
        <v>22504.609594576199</v>
      </c>
      <c r="K1139" s="21">
        <f t="shared" si="56"/>
        <v>4951014</v>
      </c>
      <c r="L1139" s="550" t="s">
        <v>166</v>
      </c>
      <c r="M1139" s="550" t="s">
        <v>161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63"/>
    </row>
    <row r="1140" spans="1:26" ht="15.75" hidden="1" customHeight="1">
      <c r="A1140" s="120" t="str">
        <f>IF(B1140&lt;&gt;"",IF(AND(B1140&gt;=_TM1,B1140&lt;=_TM2,OR(TH!L1140="1111",TH!M1140="1111")),TH!D1140,""),"")</f>
        <v/>
      </c>
      <c r="B1140" s="568">
        <f t="shared" si="60"/>
        <v>7</v>
      </c>
      <c r="C1140" s="569">
        <f t="shared" si="61"/>
        <v>42566</v>
      </c>
      <c r="D1140" s="552" t="s">
        <v>1020</v>
      </c>
      <c r="E1140" s="591">
        <v>42566</v>
      </c>
      <c r="F1140" s="592" t="s">
        <v>498</v>
      </c>
      <c r="G1140" s="593" t="s">
        <v>699</v>
      </c>
      <c r="H1140" s="555" t="s">
        <v>1073</v>
      </c>
      <c r="I1140" s="131">
        <v>357</v>
      </c>
      <c r="J1140" s="131">
        <v>10551.611824563199</v>
      </c>
      <c r="K1140" s="21">
        <f t="shared" si="56"/>
        <v>3766925</v>
      </c>
      <c r="L1140" s="550" t="s">
        <v>166</v>
      </c>
      <c r="M1140" s="550" t="s">
        <v>161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63"/>
    </row>
    <row r="1141" spans="1:26" ht="15.75" hidden="1" customHeight="1">
      <c r="A1141" s="120" t="str">
        <f>IF(B1141&lt;&gt;"",IF(AND(B1141&gt;=_TM1,B1141&lt;=_TM2,OR(TH!L1141="1111",TH!M1141="1111")),TH!D1141,""),"")</f>
        <v/>
      </c>
      <c r="B1141" s="568">
        <f t="shared" si="60"/>
        <v>7</v>
      </c>
      <c r="C1141" s="569">
        <f t="shared" si="61"/>
        <v>42566</v>
      </c>
      <c r="D1141" s="552" t="s">
        <v>1020</v>
      </c>
      <c r="E1141" s="591">
        <v>42566</v>
      </c>
      <c r="F1141" s="592" t="s">
        <v>499</v>
      </c>
      <c r="G1141" s="593" t="s">
        <v>699</v>
      </c>
      <c r="H1141" s="555" t="s">
        <v>1073</v>
      </c>
      <c r="I1141" s="131">
        <v>70</v>
      </c>
      <c r="J1141" s="131">
        <v>11046.218628839601</v>
      </c>
      <c r="K1141" s="21">
        <f t="shared" si="56"/>
        <v>773235</v>
      </c>
      <c r="L1141" s="550" t="s">
        <v>166</v>
      </c>
      <c r="M1141" s="550" t="s">
        <v>161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63"/>
    </row>
    <row r="1142" spans="1:26" ht="15.75" hidden="1" customHeight="1">
      <c r="A1142" s="120" t="str">
        <f>IF(B1142&lt;&gt;"",IF(AND(B1142&gt;=_TM1,B1142&lt;=_TM2,OR(TH!L1142="1111",TH!M1142="1111")),TH!D1142,""),"")</f>
        <v/>
      </c>
      <c r="B1142" s="568">
        <f t="shared" si="60"/>
        <v>7</v>
      </c>
      <c r="C1142" s="569">
        <f t="shared" si="61"/>
        <v>42567</v>
      </c>
      <c r="D1142" s="552" t="s">
        <v>1020</v>
      </c>
      <c r="E1142" s="591">
        <v>42567</v>
      </c>
      <c r="F1142" s="592" t="s">
        <v>500</v>
      </c>
      <c r="G1142" s="593" t="s">
        <v>700</v>
      </c>
      <c r="H1142" s="555" t="s">
        <v>1073</v>
      </c>
      <c r="I1142" s="131">
        <v>300</v>
      </c>
      <c r="J1142" s="131">
        <v>9397.5292812515981</v>
      </c>
      <c r="K1142" s="21">
        <f t="shared" si="56"/>
        <v>2819259</v>
      </c>
      <c r="L1142" s="550" t="s">
        <v>166</v>
      </c>
      <c r="M1142" s="550" t="s">
        <v>161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63"/>
    </row>
    <row r="1143" spans="1:26" ht="15.75" hidden="1" customHeight="1">
      <c r="A1143" s="120" t="str">
        <f>IF(B1143&lt;&gt;"",IF(AND(B1143&gt;=_TM1,B1143&lt;=_TM2,OR(TH!L1143="1111",TH!M1143="1111")),TH!D1143,""),"")</f>
        <v/>
      </c>
      <c r="B1143" s="568">
        <f t="shared" si="60"/>
        <v>7</v>
      </c>
      <c r="C1143" s="569">
        <f t="shared" si="61"/>
        <v>42567</v>
      </c>
      <c r="D1143" s="552" t="s">
        <v>1020</v>
      </c>
      <c r="E1143" s="591">
        <v>42567</v>
      </c>
      <c r="F1143" s="592" t="s">
        <v>500</v>
      </c>
      <c r="G1143" s="593" t="s">
        <v>700</v>
      </c>
      <c r="H1143" s="555" t="s">
        <v>1073</v>
      </c>
      <c r="I1143" s="131">
        <v>500</v>
      </c>
      <c r="J1143" s="131">
        <v>9397.5292812515981</v>
      </c>
      <c r="K1143" s="21">
        <f t="shared" si="56"/>
        <v>4698765</v>
      </c>
      <c r="L1143" s="550" t="s">
        <v>166</v>
      </c>
      <c r="M1143" s="550" t="s">
        <v>161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63"/>
    </row>
    <row r="1144" spans="1:26" ht="15.75" hidden="1" customHeight="1">
      <c r="A1144" s="120" t="str">
        <f>IF(B1144&lt;&gt;"",IF(AND(B1144&gt;=_TM1,B1144&lt;=_TM2,OR(TH!L1144="1111",TH!M1144="1111")),TH!D1144,""),"")</f>
        <v/>
      </c>
      <c r="B1144" s="568">
        <f t="shared" si="60"/>
        <v>7</v>
      </c>
      <c r="C1144" s="569">
        <f t="shared" si="61"/>
        <v>42567</v>
      </c>
      <c r="D1144" s="552" t="s">
        <v>1020</v>
      </c>
      <c r="E1144" s="591">
        <v>42567</v>
      </c>
      <c r="F1144" s="592" t="s">
        <v>375</v>
      </c>
      <c r="G1144" s="593" t="s">
        <v>700</v>
      </c>
      <c r="H1144" s="555" t="s">
        <v>1073</v>
      </c>
      <c r="I1144" s="131">
        <v>1600</v>
      </c>
      <c r="J1144" s="131">
        <v>741.91020641459988</v>
      </c>
      <c r="K1144" s="21">
        <f t="shared" si="56"/>
        <v>1187056</v>
      </c>
      <c r="L1144" s="550" t="s">
        <v>166</v>
      </c>
      <c r="M1144" s="550" t="s">
        <v>161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63"/>
    </row>
    <row r="1145" spans="1:26" ht="15.75" hidden="1" customHeight="1">
      <c r="A1145" s="120" t="str">
        <f>IF(B1145&lt;&gt;"",IF(AND(B1145&gt;=_TM1,B1145&lt;=_TM2,OR(TH!L1145="1111",TH!M1145="1111")),TH!D1145,""),"")</f>
        <v/>
      </c>
      <c r="B1145" s="568">
        <f t="shared" si="60"/>
        <v>7</v>
      </c>
      <c r="C1145" s="569">
        <f t="shared" si="61"/>
        <v>42567</v>
      </c>
      <c r="D1145" s="552" t="s">
        <v>1020</v>
      </c>
      <c r="E1145" s="591">
        <v>42567</v>
      </c>
      <c r="F1145" s="592" t="s">
        <v>501</v>
      </c>
      <c r="G1145" s="593" t="s">
        <v>701</v>
      </c>
      <c r="H1145" s="555" t="s">
        <v>1073</v>
      </c>
      <c r="I1145" s="572">
        <v>1005</v>
      </c>
      <c r="J1145" s="572">
        <v>7666.4054662842</v>
      </c>
      <c r="K1145" s="21">
        <f t="shared" si="56"/>
        <v>7704737</v>
      </c>
      <c r="L1145" s="550" t="s">
        <v>166</v>
      </c>
      <c r="M1145" s="550" t="s">
        <v>161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63"/>
    </row>
    <row r="1146" spans="1:26" ht="15.75" hidden="1" customHeight="1">
      <c r="A1146" s="120" t="str">
        <f>IF(B1146&lt;&gt;"",IF(AND(B1146&gt;=_TM1,B1146&lt;=_TM2,OR(TH!L1146="1111",TH!M1146="1111")),TH!D1146,""),"")</f>
        <v/>
      </c>
      <c r="B1146" s="568">
        <f t="shared" si="60"/>
        <v>7</v>
      </c>
      <c r="C1146" s="569">
        <f t="shared" si="61"/>
        <v>42569</v>
      </c>
      <c r="D1146" s="552" t="s">
        <v>1020</v>
      </c>
      <c r="E1146" s="591">
        <v>42569</v>
      </c>
      <c r="F1146" s="592" t="s">
        <v>502</v>
      </c>
      <c r="G1146" s="593" t="s">
        <v>702</v>
      </c>
      <c r="H1146" s="555" t="s">
        <v>1073</v>
      </c>
      <c r="I1146" s="131">
        <v>254</v>
      </c>
      <c r="J1146" s="131">
        <v>10057.005020286799</v>
      </c>
      <c r="K1146" s="21">
        <f t="shared" si="56"/>
        <v>2554479</v>
      </c>
      <c r="L1146" s="550" t="s">
        <v>166</v>
      </c>
      <c r="M1146" s="550" t="s">
        <v>161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63"/>
    </row>
    <row r="1147" spans="1:26" ht="15.75" hidden="1" customHeight="1">
      <c r="A1147" s="120" t="str">
        <f>IF(B1147&lt;&gt;"",IF(AND(B1147&gt;=_TM1,B1147&lt;=_TM2,OR(TH!L1147="1111",TH!M1147="1111")),TH!D1147,""),"")</f>
        <v/>
      </c>
      <c r="B1147" s="568">
        <f t="shared" si="60"/>
        <v>7</v>
      </c>
      <c r="C1147" s="569">
        <f t="shared" si="61"/>
        <v>42569</v>
      </c>
      <c r="D1147" s="552" t="s">
        <v>1020</v>
      </c>
      <c r="E1147" s="591">
        <v>42569</v>
      </c>
      <c r="F1147" s="592" t="s">
        <v>503</v>
      </c>
      <c r="G1147" s="593" t="s">
        <v>703</v>
      </c>
      <c r="H1147" s="555" t="s">
        <v>1073</v>
      </c>
      <c r="I1147" s="131">
        <v>75</v>
      </c>
      <c r="J1147" s="131">
        <v>11128.653096218999</v>
      </c>
      <c r="K1147" s="21">
        <f t="shared" si="56"/>
        <v>834649</v>
      </c>
      <c r="L1147" s="550" t="s">
        <v>166</v>
      </c>
      <c r="M1147" s="550" t="s">
        <v>161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63"/>
    </row>
    <row r="1148" spans="1:26" ht="15.75" hidden="1" customHeight="1">
      <c r="A1148" s="120" t="str">
        <f>IF(B1148&lt;&gt;"",IF(AND(B1148&gt;=_TM1,B1148&lt;=_TM2,OR(TH!L1148="1111",TH!M1148="1111")),TH!D1148,""),"")</f>
        <v/>
      </c>
      <c r="B1148" s="568">
        <f t="shared" si="60"/>
        <v>7</v>
      </c>
      <c r="C1148" s="569">
        <f t="shared" si="61"/>
        <v>42571</v>
      </c>
      <c r="D1148" s="552" t="s">
        <v>1020</v>
      </c>
      <c r="E1148" s="591">
        <v>42571</v>
      </c>
      <c r="F1148" s="592" t="s">
        <v>506</v>
      </c>
      <c r="G1148" s="593" t="s">
        <v>704</v>
      </c>
      <c r="H1148" s="555" t="s">
        <v>1073</v>
      </c>
      <c r="I1148" s="131">
        <v>500</v>
      </c>
      <c r="J1148" s="131">
        <v>2637.9029561407997</v>
      </c>
      <c r="K1148" s="21">
        <f t="shared" si="56"/>
        <v>1318951</v>
      </c>
      <c r="L1148" s="550" t="s">
        <v>166</v>
      </c>
      <c r="M1148" s="550" t="s">
        <v>161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63"/>
    </row>
    <row r="1149" spans="1:26" ht="15.75" hidden="1" customHeight="1">
      <c r="A1149" s="120" t="str">
        <f>IF(B1149&lt;&gt;"",IF(AND(B1149&gt;=_TM1,B1149&lt;=_TM2,OR(TH!L1149="1111",TH!M1149="1111")),TH!D1149,""),"")</f>
        <v/>
      </c>
      <c r="B1149" s="568">
        <f t="shared" si="60"/>
        <v>7</v>
      </c>
      <c r="C1149" s="569">
        <f t="shared" si="61"/>
        <v>42571</v>
      </c>
      <c r="D1149" s="552" t="s">
        <v>1020</v>
      </c>
      <c r="E1149" s="591">
        <v>42571</v>
      </c>
      <c r="F1149" s="592" t="s">
        <v>507</v>
      </c>
      <c r="G1149" s="593" t="s">
        <v>704</v>
      </c>
      <c r="H1149" s="555" t="s">
        <v>1073</v>
      </c>
      <c r="I1149" s="131">
        <v>300</v>
      </c>
      <c r="J1149" s="131">
        <v>1648.6893475879999</v>
      </c>
      <c r="K1149" s="21">
        <f t="shared" si="56"/>
        <v>494607</v>
      </c>
      <c r="L1149" s="550" t="s">
        <v>166</v>
      </c>
      <c r="M1149" s="550" t="s">
        <v>161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63"/>
    </row>
    <row r="1150" spans="1:26" ht="15.75" hidden="1" customHeight="1">
      <c r="A1150" s="120" t="str">
        <f>IF(B1150&lt;&gt;"",IF(AND(B1150&gt;=_TM1,B1150&lt;=_TM2,OR(TH!L1150="1111",TH!M1150="1111")),TH!D1150,""),"")</f>
        <v/>
      </c>
      <c r="B1150" s="568">
        <f t="shared" si="60"/>
        <v>7</v>
      </c>
      <c r="C1150" s="569">
        <f t="shared" si="61"/>
        <v>42571</v>
      </c>
      <c r="D1150" s="552" t="s">
        <v>1020</v>
      </c>
      <c r="E1150" s="591">
        <v>42571</v>
      </c>
      <c r="F1150" s="592" t="s">
        <v>508</v>
      </c>
      <c r="G1150" s="593" t="s">
        <v>705</v>
      </c>
      <c r="H1150" s="555" t="s">
        <v>1073</v>
      </c>
      <c r="I1150" s="572">
        <v>1559</v>
      </c>
      <c r="J1150" s="572">
        <v>5687.9782491785991</v>
      </c>
      <c r="K1150" s="21">
        <f t="shared" si="56"/>
        <v>8867558</v>
      </c>
      <c r="L1150" s="550" t="s">
        <v>166</v>
      </c>
      <c r="M1150" s="550" t="s">
        <v>161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63"/>
    </row>
    <row r="1151" spans="1:26" ht="15.75" hidden="1" customHeight="1">
      <c r="A1151" s="120" t="str">
        <f>IF(B1151&lt;&gt;"",IF(AND(B1151&gt;=_TM1,B1151&lt;=_TM2,OR(TH!L1151="1111",TH!M1151="1111")),TH!D1151,""),"")</f>
        <v/>
      </c>
      <c r="B1151" s="568">
        <f t="shared" si="60"/>
        <v>7</v>
      </c>
      <c r="C1151" s="569">
        <f t="shared" si="61"/>
        <v>42572</v>
      </c>
      <c r="D1151" s="552" t="s">
        <v>1020</v>
      </c>
      <c r="E1151" s="591">
        <v>42572</v>
      </c>
      <c r="F1151" s="592" t="s">
        <v>510</v>
      </c>
      <c r="G1151" s="593" t="s">
        <v>706</v>
      </c>
      <c r="H1151" s="555" t="s">
        <v>1073</v>
      </c>
      <c r="I1151" s="131">
        <v>102</v>
      </c>
      <c r="J1151" s="131">
        <v>19619.403236297199</v>
      </c>
      <c r="K1151" s="21">
        <f t="shared" si="56"/>
        <v>2001179</v>
      </c>
      <c r="L1151" s="550" t="s">
        <v>166</v>
      </c>
      <c r="M1151" s="550" t="s">
        <v>161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63"/>
    </row>
    <row r="1152" spans="1:26" ht="15.75" hidden="1" customHeight="1">
      <c r="A1152" s="120" t="str">
        <f>IF(B1152&lt;&gt;"",IF(AND(B1152&gt;=_TM1,B1152&lt;=_TM2,OR(TH!L1152="1111",TH!M1152="1111")),TH!D1152,""),"")</f>
        <v/>
      </c>
      <c r="B1152" s="568">
        <f t="shared" si="60"/>
        <v>7</v>
      </c>
      <c r="C1152" s="569">
        <f t="shared" si="61"/>
        <v>42572</v>
      </c>
      <c r="D1152" s="552" t="s">
        <v>1020</v>
      </c>
      <c r="E1152" s="591">
        <v>42572</v>
      </c>
      <c r="F1152" s="592" t="s">
        <v>509</v>
      </c>
      <c r="G1152" s="593" t="s">
        <v>706</v>
      </c>
      <c r="H1152" s="555" t="s">
        <v>1073</v>
      </c>
      <c r="I1152" s="131">
        <v>103</v>
      </c>
      <c r="J1152" s="131">
        <v>11046.218628839601</v>
      </c>
      <c r="K1152" s="21">
        <f t="shared" si="56"/>
        <v>1137761</v>
      </c>
      <c r="L1152" s="550" t="s">
        <v>166</v>
      </c>
      <c r="M1152" s="550" t="s">
        <v>161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63"/>
    </row>
    <row r="1153" spans="1:26" ht="15.75" hidden="1" customHeight="1">
      <c r="A1153" s="120" t="str">
        <f>IF(B1153&lt;&gt;"",IF(AND(B1153&gt;=_TM1,B1153&lt;=_TM2,OR(TH!L1153="1111",TH!M1153="1111")),TH!D1153,""),"")</f>
        <v/>
      </c>
      <c r="B1153" s="568">
        <f t="shared" si="60"/>
        <v>7</v>
      </c>
      <c r="C1153" s="569">
        <f t="shared" si="61"/>
        <v>42573</v>
      </c>
      <c r="D1153" s="552" t="s">
        <v>1020</v>
      </c>
      <c r="E1153" s="591">
        <v>42573</v>
      </c>
      <c r="F1153" s="592" t="s">
        <v>644</v>
      </c>
      <c r="G1153" s="593" t="s">
        <v>707</v>
      </c>
      <c r="H1153" s="555" t="s">
        <v>1073</v>
      </c>
      <c r="I1153" s="573">
        <v>250</v>
      </c>
      <c r="J1153" s="573">
        <v>10221.873955045599</v>
      </c>
      <c r="K1153" s="21">
        <f t="shared" si="56"/>
        <v>2555468</v>
      </c>
      <c r="L1153" s="550" t="s">
        <v>166</v>
      </c>
      <c r="M1153" s="550" t="s">
        <v>161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63"/>
    </row>
    <row r="1154" spans="1:26" ht="15.75" hidden="1" customHeight="1">
      <c r="A1154" s="120" t="str">
        <f>IF(B1154&lt;&gt;"",IF(AND(B1154&gt;=_TM1,B1154&lt;=_TM2,OR(TH!L1154="1111",TH!M1154="1111")),TH!D1154,""),"")</f>
        <v/>
      </c>
      <c r="B1154" s="568">
        <f t="shared" si="60"/>
        <v>7</v>
      </c>
      <c r="C1154" s="569">
        <f t="shared" si="61"/>
        <v>42573</v>
      </c>
      <c r="D1154" s="552" t="s">
        <v>1020</v>
      </c>
      <c r="E1154" s="591">
        <v>42573</v>
      </c>
      <c r="F1154" s="592" t="s">
        <v>645</v>
      </c>
      <c r="G1154" s="593" t="s">
        <v>707</v>
      </c>
      <c r="H1154" s="555" t="s">
        <v>1073</v>
      </c>
      <c r="I1154" s="131">
        <v>200</v>
      </c>
      <c r="J1154" s="131">
        <v>12530.039041668799</v>
      </c>
      <c r="K1154" s="21">
        <f t="shared" si="56"/>
        <v>2506008</v>
      </c>
      <c r="L1154" s="550" t="s">
        <v>166</v>
      </c>
      <c r="M1154" s="550" t="s">
        <v>161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63"/>
    </row>
    <row r="1155" spans="1:26" ht="15.75" hidden="1" customHeight="1">
      <c r="A1155" s="120" t="str">
        <f>IF(B1155&lt;&gt;"",IF(AND(B1155&gt;=_TM1,B1155&lt;=_TM2,OR(TH!L1155="1111",TH!M1155="1111")),TH!D1155,""),"")</f>
        <v/>
      </c>
      <c r="B1155" s="568">
        <f t="shared" si="60"/>
        <v>7</v>
      </c>
      <c r="C1155" s="569">
        <f t="shared" si="61"/>
        <v>42573</v>
      </c>
      <c r="D1155" s="552" t="s">
        <v>1020</v>
      </c>
      <c r="E1155" s="591">
        <v>42573</v>
      </c>
      <c r="F1155" s="592" t="s">
        <v>646</v>
      </c>
      <c r="G1155" s="593" t="s">
        <v>707</v>
      </c>
      <c r="H1155" s="555" t="s">
        <v>1073</v>
      </c>
      <c r="I1155" s="131">
        <v>300</v>
      </c>
      <c r="J1155" s="131">
        <v>9974.5705529073985</v>
      </c>
      <c r="K1155" s="21">
        <f t="shared" si="56"/>
        <v>2992371</v>
      </c>
      <c r="L1155" s="550" t="s">
        <v>166</v>
      </c>
      <c r="M1155" s="550" t="s">
        <v>161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63"/>
    </row>
    <row r="1156" spans="1:26" ht="15.75" hidden="1" customHeight="1">
      <c r="A1156" s="120" t="str">
        <f>IF(B1156&lt;&gt;"",IF(AND(B1156&gt;=_TM1,B1156&lt;=_TM2,OR(TH!L1156="1111",TH!M1156="1111")),TH!D1156,""),"")</f>
        <v/>
      </c>
      <c r="B1156" s="568">
        <f t="shared" si="60"/>
        <v>7</v>
      </c>
      <c r="C1156" s="569">
        <f t="shared" si="61"/>
        <v>42573</v>
      </c>
      <c r="D1156" s="552" t="s">
        <v>1020</v>
      </c>
      <c r="E1156" s="591">
        <v>42573</v>
      </c>
      <c r="F1156" s="592" t="s">
        <v>647</v>
      </c>
      <c r="G1156" s="593" t="s">
        <v>707</v>
      </c>
      <c r="H1156" s="555" t="s">
        <v>1073</v>
      </c>
      <c r="I1156" s="572">
        <v>300</v>
      </c>
      <c r="J1156" s="572">
        <v>10963.7841614602</v>
      </c>
      <c r="K1156" s="21">
        <f t="shared" si="56"/>
        <v>3289135</v>
      </c>
      <c r="L1156" s="550" t="s">
        <v>166</v>
      </c>
      <c r="M1156" s="550" t="s">
        <v>161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63"/>
    </row>
    <row r="1157" spans="1:26" ht="15.75" hidden="1" customHeight="1">
      <c r="A1157" s="120" t="str">
        <f>IF(B1157&lt;&gt;"",IF(AND(B1157&gt;=_TM1,B1157&lt;=_TM2,OR(TH!L1157="1111",TH!M1157="1111")),TH!D1157,""),"")</f>
        <v/>
      </c>
      <c r="B1157" s="568">
        <f t="shared" si="60"/>
        <v>7</v>
      </c>
      <c r="C1157" s="569">
        <f t="shared" si="61"/>
        <v>42573</v>
      </c>
      <c r="D1157" s="552" t="s">
        <v>1020</v>
      </c>
      <c r="E1157" s="591">
        <v>42573</v>
      </c>
      <c r="F1157" s="592" t="s">
        <v>817</v>
      </c>
      <c r="G1157" s="593" t="s">
        <v>707</v>
      </c>
      <c r="H1157" s="555" t="s">
        <v>1073</v>
      </c>
      <c r="I1157" s="572">
        <v>200</v>
      </c>
      <c r="J1157" s="572">
        <v>17228.803682294598</v>
      </c>
      <c r="K1157" s="21">
        <f t="shared" si="56"/>
        <v>3445761</v>
      </c>
      <c r="L1157" s="550" t="s">
        <v>166</v>
      </c>
      <c r="M1157" s="550" t="s">
        <v>161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63"/>
    </row>
    <row r="1158" spans="1:26" ht="15.75" hidden="1" customHeight="1">
      <c r="A1158" s="120" t="str">
        <f>IF(B1158&lt;&gt;"",IF(AND(B1158&gt;=_TM1,B1158&lt;=_TM2,OR(TH!L1158="1111",TH!M1158="1111")),TH!D1158,""),"")</f>
        <v/>
      </c>
      <c r="B1158" s="568">
        <f t="shared" si="60"/>
        <v>7</v>
      </c>
      <c r="C1158" s="569">
        <f t="shared" si="61"/>
        <v>42574</v>
      </c>
      <c r="D1158" s="552" t="s">
        <v>1020</v>
      </c>
      <c r="E1158" s="591">
        <v>42574</v>
      </c>
      <c r="F1158" s="592" t="s">
        <v>653</v>
      </c>
      <c r="G1158" s="593" t="s">
        <v>708</v>
      </c>
      <c r="H1158" s="555" t="s">
        <v>1073</v>
      </c>
      <c r="I1158" s="131">
        <v>530</v>
      </c>
      <c r="J1158" s="131">
        <v>12777.342443807</v>
      </c>
      <c r="K1158" s="21">
        <f t="shared" si="56"/>
        <v>6771991</v>
      </c>
      <c r="L1158" s="550" t="s">
        <v>166</v>
      </c>
      <c r="M1158" s="550" t="s">
        <v>161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63"/>
    </row>
    <row r="1159" spans="1:26" ht="15.75" hidden="1" customHeight="1">
      <c r="A1159" s="120" t="str">
        <f>IF(B1159&lt;&gt;"",IF(AND(B1159&gt;=_TM1,B1159&lt;=_TM2,OR(TH!L1159="1111",TH!M1159="1111")),TH!D1159,""),"")</f>
        <v/>
      </c>
      <c r="B1159" s="568">
        <f t="shared" si="60"/>
        <v>7</v>
      </c>
      <c r="C1159" s="569">
        <f t="shared" si="61"/>
        <v>42574</v>
      </c>
      <c r="D1159" s="552" t="s">
        <v>1020</v>
      </c>
      <c r="E1159" s="591">
        <v>42574</v>
      </c>
      <c r="F1159" s="592" t="s">
        <v>498</v>
      </c>
      <c r="G1159" s="593" t="s">
        <v>708</v>
      </c>
      <c r="H1159" s="555" t="s">
        <v>1073</v>
      </c>
      <c r="I1159" s="131">
        <v>33</v>
      </c>
      <c r="J1159" s="131">
        <v>10551.611824563199</v>
      </c>
      <c r="K1159" s="21">
        <f t="shared" si="56"/>
        <v>348203</v>
      </c>
      <c r="L1159" s="550" t="s">
        <v>166</v>
      </c>
      <c r="M1159" s="550" t="s">
        <v>161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63"/>
    </row>
    <row r="1160" spans="1:26" ht="15.75" hidden="1" customHeight="1">
      <c r="A1160" s="120" t="str">
        <f>IF(B1160&lt;&gt;"",IF(AND(B1160&gt;=_TM1,B1160&lt;=_TM2,OR(TH!L1160="1111",TH!M1160="1111")),TH!D1160,""),"")</f>
        <v/>
      </c>
      <c r="B1160" s="568">
        <f t="shared" si="60"/>
        <v>7</v>
      </c>
      <c r="C1160" s="569">
        <f t="shared" si="61"/>
        <v>42574</v>
      </c>
      <c r="D1160" s="552" t="s">
        <v>1020</v>
      </c>
      <c r="E1160" s="591">
        <v>42574</v>
      </c>
      <c r="F1160" s="592" t="s">
        <v>654</v>
      </c>
      <c r="G1160" s="593" t="s">
        <v>708</v>
      </c>
      <c r="H1160" s="555" t="s">
        <v>1073</v>
      </c>
      <c r="I1160" s="131">
        <v>630</v>
      </c>
      <c r="J1160" s="131">
        <v>11128.653096218999</v>
      </c>
      <c r="K1160" s="21">
        <f t="shared" si="56"/>
        <v>7011051</v>
      </c>
      <c r="L1160" s="550" t="s">
        <v>166</v>
      </c>
      <c r="M1160" s="550" t="s">
        <v>161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63"/>
    </row>
    <row r="1161" spans="1:26" ht="15.75" hidden="1" customHeight="1">
      <c r="A1161" s="120" t="str">
        <f>IF(B1161&lt;&gt;"",IF(AND(B1161&gt;=_TM1,B1161&lt;=_TM2,OR(TH!L1161="1111",TH!M1161="1111")),TH!D1161,""),"")</f>
        <v/>
      </c>
      <c r="B1161" s="568">
        <f t="shared" si="60"/>
        <v>7</v>
      </c>
      <c r="C1161" s="569">
        <f t="shared" si="61"/>
        <v>42574</v>
      </c>
      <c r="D1161" s="552" t="s">
        <v>1020</v>
      </c>
      <c r="E1161" s="591">
        <v>42574</v>
      </c>
      <c r="F1161" s="592" t="s">
        <v>660</v>
      </c>
      <c r="G1161" s="593" t="s">
        <v>708</v>
      </c>
      <c r="H1161" s="555" t="s">
        <v>1073</v>
      </c>
      <c r="I1161" s="573">
        <v>352</v>
      </c>
      <c r="J1161" s="573">
        <v>9397.5292812515981</v>
      </c>
      <c r="K1161" s="21">
        <f t="shared" si="56"/>
        <v>3307930</v>
      </c>
      <c r="L1161" s="550" t="s">
        <v>166</v>
      </c>
      <c r="M1161" s="550" t="s">
        <v>161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63"/>
    </row>
    <row r="1162" spans="1:26" ht="15.75" hidden="1" customHeight="1">
      <c r="A1162" s="120" t="str">
        <f>IF(B1162&lt;&gt;"",IF(AND(B1162&gt;=_TM1,B1162&lt;=_TM2,OR(TH!L1162="1111",TH!M1162="1111")),TH!D1162,""),"")</f>
        <v/>
      </c>
      <c r="B1162" s="568">
        <f t="shared" si="60"/>
        <v>7</v>
      </c>
      <c r="C1162" s="569">
        <f t="shared" si="61"/>
        <v>42574</v>
      </c>
      <c r="D1162" s="552" t="s">
        <v>1020</v>
      </c>
      <c r="E1162" s="591">
        <v>42574</v>
      </c>
      <c r="F1162" s="592" t="s">
        <v>511</v>
      </c>
      <c r="G1162" s="593" t="s">
        <v>709</v>
      </c>
      <c r="H1162" s="555" t="s">
        <v>1073</v>
      </c>
      <c r="I1162" s="131">
        <v>350</v>
      </c>
      <c r="J1162" s="131">
        <v>9067.7914117340006</v>
      </c>
      <c r="K1162" s="21">
        <f t="shared" si="56"/>
        <v>3173727</v>
      </c>
      <c r="L1162" s="550" t="s">
        <v>166</v>
      </c>
      <c r="M1162" s="550" t="s">
        <v>161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63"/>
    </row>
    <row r="1163" spans="1:26" ht="15.75" hidden="1" customHeight="1">
      <c r="A1163" s="120" t="str">
        <f>IF(B1163&lt;&gt;"",IF(AND(B1163&gt;=_TM1,B1163&lt;=_TM2,OR(TH!L1163="1111",TH!M1163="1111")),TH!D1163,""),"")</f>
        <v/>
      </c>
      <c r="B1163" s="568">
        <f t="shared" si="60"/>
        <v>7</v>
      </c>
      <c r="C1163" s="569">
        <f t="shared" si="61"/>
        <v>42577</v>
      </c>
      <c r="D1163" s="552" t="s">
        <v>1020</v>
      </c>
      <c r="E1163" s="591">
        <v>42577</v>
      </c>
      <c r="F1163" s="592" t="s">
        <v>512</v>
      </c>
      <c r="G1163" s="593" t="s">
        <v>710</v>
      </c>
      <c r="H1163" s="555" t="s">
        <v>1073</v>
      </c>
      <c r="I1163" s="131">
        <v>473</v>
      </c>
      <c r="J1163" s="131">
        <v>6677.1918577314</v>
      </c>
      <c r="K1163" s="21">
        <f t="shared" si="56"/>
        <v>3158312</v>
      </c>
      <c r="L1163" s="550" t="s">
        <v>166</v>
      </c>
      <c r="M1163" s="550" t="s">
        <v>161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63"/>
    </row>
    <row r="1164" spans="1:26" ht="15.75" hidden="1" customHeight="1">
      <c r="A1164" s="120" t="str">
        <f>IF(B1164&lt;&gt;"",IF(AND(B1164&gt;=_TM1,B1164&lt;=_TM2,OR(TH!L1164="1111",TH!M1164="1111")),TH!D1164,""),"")</f>
        <v/>
      </c>
      <c r="B1164" s="568">
        <f t="shared" si="60"/>
        <v>7</v>
      </c>
      <c r="C1164" s="569">
        <f t="shared" si="61"/>
        <v>42580</v>
      </c>
      <c r="D1164" s="552" t="s">
        <v>1020</v>
      </c>
      <c r="E1164" s="591">
        <v>42580</v>
      </c>
      <c r="F1164" s="592" t="s">
        <v>513</v>
      </c>
      <c r="G1164" s="593" t="s">
        <v>711</v>
      </c>
      <c r="H1164" s="555" t="s">
        <v>1073</v>
      </c>
      <c r="I1164" s="131">
        <v>302</v>
      </c>
      <c r="J1164" s="131">
        <v>7831.2744010429988</v>
      </c>
      <c r="K1164" s="21">
        <f t="shared" si="56"/>
        <v>2365045</v>
      </c>
      <c r="L1164" s="550" t="s">
        <v>166</v>
      </c>
      <c r="M1164" s="550" t="s">
        <v>161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63"/>
    </row>
    <row r="1165" spans="1:26" ht="15.75" hidden="1" customHeight="1">
      <c r="A1165" s="120" t="str">
        <f>IF(B1165&lt;&gt;"",IF(AND(B1165&gt;=_TM1,B1165&lt;=_TM2,OR(TH!L1165="1111",TH!M1165="1111")),TH!D1165,""),"")</f>
        <v/>
      </c>
      <c r="B1165" s="568">
        <f t="shared" si="60"/>
        <v>7</v>
      </c>
      <c r="C1165" s="569">
        <f t="shared" si="61"/>
        <v>42580</v>
      </c>
      <c r="D1165" s="552" t="s">
        <v>1020</v>
      </c>
      <c r="E1165" s="591">
        <v>42580</v>
      </c>
      <c r="F1165" s="592" t="s">
        <v>514</v>
      </c>
      <c r="G1165" s="593" t="s">
        <v>711</v>
      </c>
      <c r="H1165" s="555" t="s">
        <v>1073</v>
      </c>
      <c r="I1165" s="131">
        <v>527</v>
      </c>
      <c r="J1165" s="131">
        <v>7996.1433358017994</v>
      </c>
      <c r="K1165" s="21">
        <f t="shared" si="56"/>
        <v>4213968</v>
      </c>
      <c r="L1165" s="550" t="s">
        <v>166</v>
      </c>
      <c r="M1165" s="550" t="s">
        <v>161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63"/>
    </row>
    <row r="1166" spans="1:26" ht="15.75" hidden="1" customHeight="1">
      <c r="A1166" s="120" t="str">
        <f>IF(B1166&lt;&gt;"",IF(AND(B1166&gt;=_TM1,B1166&lt;=_TM2,OR(TH!L1166="1111",TH!M1166="1111")),TH!D1166,""),"")</f>
        <v/>
      </c>
      <c r="B1166" s="568">
        <f t="shared" si="60"/>
        <v>7</v>
      </c>
      <c r="C1166" s="569">
        <f t="shared" si="61"/>
        <v>42580</v>
      </c>
      <c r="D1166" s="552" t="s">
        <v>1020</v>
      </c>
      <c r="E1166" s="591">
        <v>42580</v>
      </c>
      <c r="F1166" s="592" t="s">
        <v>647</v>
      </c>
      <c r="G1166" s="593" t="s">
        <v>712</v>
      </c>
      <c r="H1166" s="555" t="s">
        <v>1073</v>
      </c>
      <c r="I1166" s="131">
        <v>100</v>
      </c>
      <c r="J1166" s="131">
        <v>10963.7841614602</v>
      </c>
      <c r="K1166" s="21">
        <f t="shared" si="56"/>
        <v>1096378</v>
      </c>
      <c r="L1166" s="550" t="s">
        <v>166</v>
      </c>
      <c r="M1166" s="550" t="s">
        <v>161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63"/>
    </row>
    <row r="1167" spans="1:26" ht="15.75" hidden="1" customHeight="1">
      <c r="A1167" s="120" t="str">
        <f>IF(B1167&lt;&gt;"",IF(AND(B1167&gt;=_TM1,B1167&lt;=_TM2,OR(TH!L1167="1111",TH!M1167="1111")),TH!D1167,""),"")</f>
        <v/>
      </c>
      <c r="B1167" s="568">
        <f t="shared" si="60"/>
        <v>7</v>
      </c>
      <c r="C1167" s="569">
        <f t="shared" si="61"/>
        <v>42580</v>
      </c>
      <c r="D1167" s="552" t="s">
        <v>1020</v>
      </c>
      <c r="E1167" s="591">
        <v>42580</v>
      </c>
      <c r="F1167" s="592" t="s">
        <v>817</v>
      </c>
      <c r="G1167" s="593" t="s">
        <v>712</v>
      </c>
      <c r="H1167" s="555" t="s">
        <v>1073</v>
      </c>
      <c r="I1167" s="131">
        <v>100</v>
      </c>
      <c r="J1167" s="131">
        <v>17228.803682294598</v>
      </c>
      <c r="K1167" s="21">
        <f t="shared" si="56"/>
        <v>1722880</v>
      </c>
      <c r="L1167" s="550" t="s">
        <v>166</v>
      </c>
      <c r="M1167" s="550" t="s">
        <v>161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63"/>
    </row>
    <row r="1168" spans="1:26" ht="15.75" hidden="1" customHeight="1">
      <c r="A1168" s="120" t="str">
        <f>IF(B1168&lt;&gt;"",IF(AND(B1168&gt;=_TM1,B1168&lt;=_TM2,OR(TH!L1168="1111",TH!M1168="1111")),TH!D1168,""),"")</f>
        <v/>
      </c>
      <c r="B1168" s="568">
        <f t="shared" si="60"/>
        <v>8</v>
      </c>
      <c r="C1168" s="569">
        <f t="shared" si="61"/>
        <v>42583</v>
      </c>
      <c r="D1168" s="552" t="s">
        <v>1020</v>
      </c>
      <c r="E1168" s="591">
        <v>42583</v>
      </c>
      <c r="F1168" s="592" t="s">
        <v>508</v>
      </c>
      <c r="G1168" s="593" t="s">
        <v>713</v>
      </c>
      <c r="H1168" s="555" t="s">
        <v>1073</v>
      </c>
      <c r="I1168" s="131">
        <v>500</v>
      </c>
      <c r="J1168" s="131">
        <v>5687.9782491785991</v>
      </c>
      <c r="K1168" s="21">
        <f t="shared" si="56"/>
        <v>2843989</v>
      </c>
      <c r="L1168" s="550" t="s">
        <v>166</v>
      </c>
      <c r="M1168" s="550" t="s">
        <v>161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63"/>
    </row>
    <row r="1169" spans="1:26" ht="15.75" hidden="1" customHeight="1">
      <c r="A1169" s="120" t="str">
        <f>IF(B1169&lt;&gt;"",IF(AND(B1169&gt;=_TM1,B1169&lt;=_TM2,OR(TH!L1169="1111",TH!M1169="1111")),TH!D1169,""),"")</f>
        <v/>
      </c>
      <c r="B1169" s="568">
        <f t="shared" si="60"/>
        <v>8</v>
      </c>
      <c r="C1169" s="569">
        <f t="shared" si="61"/>
        <v>42584</v>
      </c>
      <c r="D1169" s="552" t="s">
        <v>1020</v>
      </c>
      <c r="E1169" s="591">
        <v>42584</v>
      </c>
      <c r="F1169" s="592" t="s">
        <v>515</v>
      </c>
      <c r="G1169" s="593" t="s">
        <v>714</v>
      </c>
      <c r="H1169" s="555" t="s">
        <v>1073</v>
      </c>
      <c r="I1169" s="131">
        <v>606</v>
      </c>
      <c r="J1169" s="131">
        <v>5852.8471839373997</v>
      </c>
      <c r="K1169" s="21">
        <f t="shared" si="56"/>
        <v>3546825</v>
      </c>
      <c r="L1169" s="550" t="s">
        <v>166</v>
      </c>
      <c r="M1169" s="550" t="s">
        <v>161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63"/>
    </row>
    <row r="1170" spans="1:26" ht="15.75" hidden="1" customHeight="1">
      <c r="A1170" s="120" t="str">
        <f>IF(B1170&lt;&gt;"",IF(AND(B1170&gt;=_TM1,B1170&lt;=_TM2,OR(TH!L1170="1111",TH!M1170="1111")),TH!D1170,""),"")</f>
        <v/>
      </c>
      <c r="B1170" s="568">
        <f t="shared" si="60"/>
        <v>8</v>
      </c>
      <c r="C1170" s="569">
        <f t="shared" si="61"/>
        <v>42584</v>
      </c>
      <c r="D1170" s="552" t="s">
        <v>1020</v>
      </c>
      <c r="E1170" s="591">
        <v>42584</v>
      </c>
      <c r="F1170" s="592" t="s">
        <v>516</v>
      </c>
      <c r="G1170" s="593" t="s">
        <v>714</v>
      </c>
      <c r="H1170" s="555" t="s">
        <v>1073</v>
      </c>
      <c r="I1170" s="131">
        <v>404</v>
      </c>
      <c r="J1170" s="131">
        <v>8985.3569443546003</v>
      </c>
      <c r="K1170" s="21">
        <f t="shared" si="56"/>
        <v>3630084</v>
      </c>
      <c r="L1170" s="550" t="s">
        <v>166</v>
      </c>
      <c r="M1170" s="550" t="s">
        <v>161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63"/>
    </row>
    <row r="1171" spans="1:26" ht="15.75" hidden="1" customHeight="1">
      <c r="A1171" s="120" t="str">
        <f>IF(B1171&lt;&gt;"",IF(AND(B1171&gt;=_TM1,B1171&lt;=_TM2,OR(TH!L1171="1111",TH!M1171="1111")),TH!D1171,""),"")</f>
        <v/>
      </c>
      <c r="B1171" s="568">
        <f t="shared" si="60"/>
        <v>8</v>
      </c>
      <c r="C1171" s="569">
        <f t="shared" si="61"/>
        <v>42584</v>
      </c>
      <c r="D1171" s="552" t="s">
        <v>1020</v>
      </c>
      <c r="E1171" s="591">
        <v>42584</v>
      </c>
      <c r="F1171" s="592" t="s">
        <v>517</v>
      </c>
      <c r="G1171" s="593" t="s">
        <v>714</v>
      </c>
      <c r="H1171" s="555" t="s">
        <v>1073</v>
      </c>
      <c r="I1171" s="131">
        <v>304</v>
      </c>
      <c r="J1171" s="131">
        <v>10881.3496940808</v>
      </c>
      <c r="K1171" s="21">
        <f t="shared" si="56"/>
        <v>3307930</v>
      </c>
      <c r="L1171" s="550" t="s">
        <v>166</v>
      </c>
      <c r="M1171" s="550" t="s">
        <v>161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63"/>
    </row>
    <row r="1172" spans="1:26" ht="15.75" hidden="1" customHeight="1">
      <c r="A1172" s="120" t="str">
        <f>IF(B1172&lt;&gt;"",IF(AND(B1172&gt;=_TM1,B1172&lt;=_TM2,OR(TH!L1172="1111",TH!M1172="1111")),TH!D1172,""),"")</f>
        <v/>
      </c>
      <c r="B1172" s="568">
        <f t="shared" si="60"/>
        <v>8</v>
      </c>
      <c r="C1172" s="569">
        <f t="shared" si="61"/>
        <v>42584</v>
      </c>
      <c r="D1172" s="552" t="s">
        <v>1020</v>
      </c>
      <c r="E1172" s="591">
        <v>42584</v>
      </c>
      <c r="F1172" s="592" t="s">
        <v>518</v>
      </c>
      <c r="G1172" s="593" t="s">
        <v>715</v>
      </c>
      <c r="H1172" s="555" t="s">
        <v>1073</v>
      </c>
      <c r="I1172" s="131">
        <v>1335</v>
      </c>
      <c r="J1172" s="131">
        <v>6759.6263251107994</v>
      </c>
      <c r="K1172" s="21">
        <f t="shared" si="56"/>
        <v>9024101</v>
      </c>
      <c r="L1172" s="550" t="s">
        <v>166</v>
      </c>
      <c r="M1172" s="550" t="s">
        <v>161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63"/>
    </row>
    <row r="1173" spans="1:26" ht="15.75" hidden="1" customHeight="1">
      <c r="A1173" s="120" t="str">
        <f>IF(B1173&lt;&gt;"",IF(AND(B1173&gt;=_TM1,B1173&lt;=_TM2,OR(TH!L1173="1111",TH!M1173="1111")),TH!D1173,""),"")</f>
        <v/>
      </c>
      <c r="B1173" s="568">
        <f t="shared" si="60"/>
        <v>8</v>
      </c>
      <c r="C1173" s="569">
        <f t="shared" si="61"/>
        <v>42584</v>
      </c>
      <c r="D1173" s="552" t="s">
        <v>1020</v>
      </c>
      <c r="E1173" s="591">
        <v>42584</v>
      </c>
      <c r="F1173" s="592" t="s">
        <v>519</v>
      </c>
      <c r="G1173" s="593" t="s">
        <v>715</v>
      </c>
      <c r="H1173" s="555" t="s">
        <v>1073</v>
      </c>
      <c r="I1173" s="131">
        <v>302</v>
      </c>
      <c r="J1173" s="131">
        <v>6100.1505860755997</v>
      </c>
      <c r="K1173" s="21">
        <f t="shared" si="56"/>
        <v>1842245</v>
      </c>
      <c r="L1173" s="550" t="s">
        <v>166</v>
      </c>
      <c r="M1173" s="550" t="s">
        <v>161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63"/>
    </row>
    <row r="1174" spans="1:26" ht="15.75" hidden="1" customHeight="1">
      <c r="A1174" s="120" t="str">
        <f>IF(B1174&lt;&gt;"",IF(AND(B1174&gt;=_TM1,B1174&lt;=_TM2,OR(TH!L1174="1111",TH!M1174="1111")),TH!D1174,""),"")</f>
        <v/>
      </c>
      <c r="B1174" s="568">
        <f t="shared" si="60"/>
        <v>8</v>
      </c>
      <c r="C1174" s="569">
        <f t="shared" si="61"/>
        <v>42584</v>
      </c>
      <c r="D1174" s="552" t="s">
        <v>1020</v>
      </c>
      <c r="E1174" s="591">
        <v>42584</v>
      </c>
      <c r="F1174" s="592" t="s">
        <v>520</v>
      </c>
      <c r="G1174" s="593" t="s">
        <v>715</v>
      </c>
      <c r="H1174" s="555" t="s">
        <v>1073</v>
      </c>
      <c r="I1174" s="131">
        <v>420</v>
      </c>
      <c r="J1174" s="131">
        <v>13024.645845945199</v>
      </c>
      <c r="K1174" s="21">
        <f t="shared" si="56"/>
        <v>5470351</v>
      </c>
      <c r="L1174" s="550" t="s">
        <v>166</v>
      </c>
      <c r="M1174" s="550" t="s">
        <v>161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63"/>
    </row>
    <row r="1175" spans="1:26" ht="15.75" hidden="1" customHeight="1">
      <c r="A1175" s="120" t="str">
        <f>IF(B1175&lt;&gt;"",IF(AND(B1175&gt;=_TM1,B1175&lt;=_TM2,OR(TH!L1175="1111",TH!M1175="1111")),TH!D1175,""),"")</f>
        <v/>
      </c>
      <c r="B1175" s="568">
        <f t="shared" si="60"/>
        <v>8</v>
      </c>
      <c r="C1175" s="569">
        <f t="shared" si="61"/>
        <v>42585</v>
      </c>
      <c r="D1175" s="552" t="s">
        <v>1020</v>
      </c>
      <c r="E1175" s="591">
        <v>42585</v>
      </c>
      <c r="F1175" s="592" t="s">
        <v>521</v>
      </c>
      <c r="G1175" s="593" t="s">
        <v>716</v>
      </c>
      <c r="H1175" s="555" t="s">
        <v>1073</v>
      </c>
      <c r="I1175" s="131">
        <v>427</v>
      </c>
      <c r="J1175" s="131">
        <v>7913.7088684223991</v>
      </c>
      <c r="K1175" s="21">
        <f t="shared" si="56"/>
        <v>3379154</v>
      </c>
      <c r="L1175" s="550" t="s">
        <v>166</v>
      </c>
      <c r="M1175" s="550" t="s">
        <v>161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63"/>
    </row>
    <row r="1176" spans="1:26" ht="15.75" hidden="1" customHeight="1">
      <c r="A1176" s="120" t="str">
        <f>IF(B1176&lt;&gt;"",IF(AND(B1176&gt;=_TM1,B1176&lt;=_TM2,OR(TH!L1176="1111",TH!M1176="1111")),TH!D1176,""),"")</f>
        <v/>
      </c>
      <c r="B1176" s="568">
        <f t="shared" si="60"/>
        <v>8</v>
      </c>
      <c r="C1176" s="569">
        <f t="shared" si="61"/>
        <v>42588</v>
      </c>
      <c r="D1176" s="552" t="s">
        <v>1020</v>
      </c>
      <c r="E1176" s="591">
        <v>42588</v>
      </c>
      <c r="F1176" s="592" t="s">
        <v>536</v>
      </c>
      <c r="G1176" s="593" t="s">
        <v>717</v>
      </c>
      <c r="H1176" s="555" t="s">
        <v>1073</v>
      </c>
      <c r="I1176" s="131">
        <v>108</v>
      </c>
      <c r="J1176" s="131">
        <v>6429.8884555932</v>
      </c>
      <c r="K1176" s="21">
        <f t="shared" si="56"/>
        <v>694428</v>
      </c>
      <c r="L1176" s="550" t="s">
        <v>166</v>
      </c>
      <c r="M1176" s="550" t="s">
        <v>161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63"/>
    </row>
    <row r="1177" spans="1:26" ht="15.75" hidden="1" customHeight="1">
      <c r="A1177" s="120" t="str">
        <f>IF(B1177&lt;&gt;"",IF(AND(B1177&gt;=_TM1,B1177&lt;=_TM2,OR(TH!L1177="1111",TH!M1177="1111")),TH!D1177,""),"")</f>
        <v/>
      </c>
      <c r="B1177" s="568">
        <f t="shared" si="60"/>
        <v>8</v>
      </c>
      <c r="C1177" s="569">
        <f t="shared" si="61"/>
        <v>42588</v>
      </c>
      <c r="D1177" s="552" t="s">
        <v>1020</v>
      </c>
      <c r="E1177" s="591">
        <v>42588</v>
      </c>
      <c r="F1177" s="592" t="s">
        <v>662</v>
      </c>
      <c r="G1177" s="593" t="s">
        <v>717</v>
      </c>
      <c r="H1177" s="555" t="s">
        <v>1073</v>
      </c>
      <c r="I1177" s="131">
        <v>103</v>
      </c>
      <c r="J1177" s="131">
        <v>7748.8399336635994</v>
      </c>
      <c r="K1177" s="21">
        <f t="shared" si="56"/>
        <v>798131</v>
      </c>
      <c r="L1177" s="550" t="s">
        <v>166</v>
      </c>
      <c r="M1177" s="550" t="s">
        <v>161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63"/>
    </row>
    <row r="1178" spans="1:26" ht="15.75" hidden="1" customHeight="1">
      <c r="A1178" s="120" t="str">
        <f>IF(B1178&lt;&gt;"",IF(AND(B1178&gt;=_TM1,B1178&lt;=_TM2,OR(TH!L1178="1111",TH!M1178="1111")),TH!D1178,""),"")</f>
        <v/>
      </c>
      <c r="B1178" s="568">
        <f t="shared" si="60"/>
        <v>8</v>
      </c>
      <c r="C1178" s="569">
        <f t="shared" si="61"/>
        <v>42591</v>
      </c>
      <c r="D1178" s="552" t="s">
        <v>1020</v>
      </c>
      <c r="E1178" s="591">
        <v>42591</v>
      </c>
      <c r="F1178" s="592" t="s">
        <v>522</v>
      </c>
      <c r="G1178" s="593" t="s">
        <v>718</v>
      </c>
      <c r="H1178" s="555" t="s">
        <v>1073</v>
      </c>
      <c r="I1178" s="131">
        <v>490</v>
      </c>
      <c r="J1178" s="131">
        <v>6017.7161186961994</v>
      </c>
      <c r="K1178" s="21">
        <f t="shared" si="56"/>
        <v>2948681</v>
      </c>
      <c r="L1178" s="550" t="s">
        <v>166</v>
      </c>
      <c r="M1178" s="550" t="s">
        <v>161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63"/>
    </row>
    <row r="1179" spans="1:26" ht="15.75" hidden="1" customHeight="1">
      <c r="A1179" s="120" t="str">
        <f>IF(B1179&lt;&gt;"",IF(AND(B1179&gt;=_TM1,B1179&lt;=_TM2,OR(TH!L1179="1111",TH!M1179="1111")),TH!D1179,""),"")</f>
        <v/>
      </c>
      <c r="B1179" s="568">
        <f t="shared" si="60"/>
        <v>8</v>
      </c>
      <c r="C1179" s="569">
        <f t="shared" si="61"/>
        <v>42592</v>
      </c>
      <c r="D1179" s="552" t="s">
        <v>1020</v>
      </c>
      <c r="E1179" s="591">
        <v>42592</v>
      </c>
      <c r="F1179" s="592" t="s">
        <v>524</v>
      </c>
      <c r="G1179" s="593" t="s">
        <v>719</v>
      </c>
      <c r="H1179" s="555" t="s">
        <v>1073</v>
      </c>
      <c r="I1179" s="131">
        <v>403</v>
      </c>
      <c r="J1179" s="131">
        <v>15497.679867327199</v>
      </c>
      <c r="K1179" s="21">
        <f t="shared" si="56"/>
        <v>6245565</v>
      </c>
      <c r="L1179" s="550" t="s">
        <v>166</v>
      </c>
      <c r="M1179" s="550" t="s">
        <v>161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63"/>
    </row>
    <row r="1180" spans="1:26" ht="15.75" hidden="1" customHeight="1">
      <c r="A1180" s="120" t="str">
        <f>IF(B1180&lt;&gt;"",IF(AND(B1180&gt;=_TM1,B1180&lt;=_TM2,OR(TH!L1180="1111",TH!M1180="1111")),TH!D1180,""),"")</f>
        <v/>
      </c>
      <c r="B1180" s="568">
        <f t="shared" si="60"/>
        <v>8</v>
      </c>
      <c r="C1180" s="569">
        <f t="shared" si="61"/>
        <v>42592</v>
      </c>
      <c r="D1180" s="552" t="s">
        <v>1020</v>
      </c>
      <c r="E1180" s="591">
        <v>42592</v>
      </c>
      <c r="F1180" s="592" t="s">
        <v>645</v>
      </c>
      <c r="G1180" s="593" t="s">
        <v>720</v>
      </c>
      <c r="H1180" s="555" t="s">
        <v>1073</v>
      </c>
      <c r="I1180" s="131">
        <v>30</v>
      </c>
      <c r="J1180" s="131">
        <v>12530.039041668799</v>
      </c>
      <c r="K1180" s="21">
        <f t="shared" si="56"/>
        <v>375901</v>
      </c>
      <c r="L1180" s="550" t="s">
        <v>166</v>
      </c>
      <c r="M1180" s="550" t="s">
        <v>161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63"/>
    </row>
    <row r="1181" spans="1:26" ht="15.75" hidden="1" customHeight="1">
      <c r="A1181" s="120" t="str">
        <f>IF(B1181&lt;&gt;"",IF(AND(B1181&gt;=_TM1,B1181&lt;=_TM2,OR(TH!L1181="1111",TH!M1181="1111")),TH!D1181,""),"")</f>
        <v/>
      </c>
      <c r="B1181" s="568">
        <f t="shared" si="60"/>
        <v>8</v>
      </c>
      <c r="C1181" s="569">
        <f t="shared" si="61"/>
        <v>42592</v>
      </c>
      <c r="D1181" s="552" t="s">
        <v>1020</v>
      </c>
      <c r="E1181" s="591">
        <v>42592</v>
      </c>
      <c r="F1181" s="592" t="s">
        <v>648</v>
      </c>
      <c r="G1181" s="593" t="s">
        <v>720</v>
      </c>
      <c r="H1181" s="555" t="s">
        <v>1073</v>
      </c>
      <c r="I1181" s="572">
        <v>30</v>
      </c>
      <c r="J1181" s="572">
        <v>8985.3569443546003</v>
      </c>
      <c r="K1181" s="21">
        <f t="shared" si="56"/>
        <v>269561</v>
      </c>
      <c r="L1181" s="550" t="s">
        <v>166</v>
      </c>
      <c r="M1181" s="550" t="s">
        <v>161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63"/>
    </row>
    <row r="1182" spans="1:26" ht="15.75" hidden="1" customHeight="1">
      <c r="A1182" s="120" t="str">
        <f>IF(B1182&lt;&gt;"",IF(AND(B1182&gt;=_TM1,B1182&lt;=_TM2,OR(TH!L1182="1111",TH!M1182="1111")),TH!D1182,""),"")</f>
        <v/>
      </c>
      <c r="B1182" s="568">
        <f t="shared" si="60"/>
        <v>8</v>
      </c>
      <c r="C1182" s="569">
        <f t="shared" si="61"/>
        <v>42592</v>
      </c>
      <c r="D1182" s="552" t="s">
        <v>1020</v>
      </c>
      <c r="E1182" s="591">
        <v>42592</v>
      </c>
      <c r="F1182" s="592" t="s">
        <v>646</v>
      </c>
      <c r="G1182" s="593" t="s">
        <v>720</v>
      </c>
      <c r="H1182" s="555" t="s">
        <v>1073</v>
      </c>
      <c r="I1182" s="131">
        <v>30</v>
      </c>
      <c r="J1182" s="131">
        <v>9974.5705529073985</v>
      </c>
      <c r="K1182" s="21">
        <f t="shared" si="56"/>
        <v>299237</v>
      </c>
      <c r="L1182" s="550" t="s">
        <v>166</v>
      </c>
      <c r="M1182" s="550" t="s">
        <v>161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63"/>
    </row>
    <row r="1183" spans="1:26" ht="15.75" hidden="1" customHeight="1">
      <c r="A1183" s="120" t="str">
        <f>IF(B1183&lt;&gt;"",IF(AND(B1183&gt;=_TM1,B1183&lt;=_TM2,OR(TH!L1183="1111",TH!M1183="1111")),TH!D1183,""),"")</f>
        <v/>
      </c>
      <c r="B1183" s="568">
        <f t="shared" si="60"/>
        <v>8</v>
      </c>
      <c r="C1183" s="569">
        <f t="shared" si="61"/>
        <v>42592</v>
      </c>
      <c r="D1183" s="552" t="s">
        <v>1020</v>
      </c>
      <c r="E1183" s="591">
        <v>42592</v>
      </c>
      <c r="F1183" s="592" t="s">
        <v>647</v>
      </c>
      <c r="G1183" s="593" t="s">
        <v>720</v>
      </c>
      <c r="H1183" s="555" t="s">
        <v>1073</v>
      </c>
      <c r="I1183" s="131">
        <v>100</v>
      </c>
      <c r="J1183" s="131">
        <v>10963.7841614602</v>
      </c>
      <c r="K1183" s="21">
        <f t="shared" si="56"/>
        <v>1096378</v>
      </c>
      <c r="L1183" s="550" t="s">
        <v>166</v>
      </c>
      <c r="M1183" s="550" t="s">
        <v>161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63"/>
    </row>
    <row r="1184" spans="1:26" ht="15.75" hidden="1" customHeight="1">
      <c r="A1184" s="120" t="str">
        <f>IF(B1184&lt;&gt;"",IF(AND(B1184&gt;=_TM1,B1184&lt;=_TM2,OR(TH!L1184="1111",TH!M1184="1111")),TH!D1184,""),"")</f>
        <v/>
      </c>
      <c r="B1184" s="568">
        <f t="shared" si="60"/>
        <v>8</v>
      </c>
      <c r="C1184" s="569">
        <f t="shared" si="61"/>
        <v>42592</v>
      </c>
      <c r="D1184" s="552" t="s">
        <v>1020</v>
      </c>
      <c r="E1184" s="591">
        <v>42592</v>
      </c>
      <c r="F1184" s="592" t="s">
        <v>817</v>
      </c>
      <c r="G1184" s="593" t="s">
        <v>720</v>
      </c>
      <c r="H1184" s="555" t="s">
        <v>1073</v>
      </c>
      <c r="I1184" s="131">
        <v>60</v>
      </c>
      <c r="J1184" s="131">
        <v>17228.803682294598</v>
      </c>
      <c r="K1184" s="21">
        <f t="shared" si="56"/>
        <v>1033728</v>
      </c>
      <c r="L1184" s="550" t="s">
        <v>166</v>
      </c>
      <c r="M1184" s="550" t="s">
        <v>161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63"/>
    </row>
    <row r="1185" spans="1:26" ht="15.75" hidden="1" customHeight="1">
      <c r="A1185" s="120" t="str">
        <f>IF(B1185&lt;&gt;"",IF(AND(B1185&gt;=_TM1,B1185&lt;=_TM2,OR(TH!L1185="1111",TH!M1185="1111")),TH!D1185,""),"")</f>
        <v/>
      </c>
      <c r="B1185" s="568">
        <f t="shared" si="60"/>
        <v>8</v>
      </c>
      <c r="C1185" s="569">
        <f t="shared" si="61"/>
        <v>42592</v>
      </c>
      <c r="D1185" s="552" t="s">
        <v>1020</v>
      </c>
      <c r="E1185" s="591">
        <v>42592</v>
      </c>
      <c r="F1185" s="592" t="s">
        <v>524</v>
      </c>
      <c r="G1185" s="593" t="s">
        <v>721</v>
      </c>
      <c r="H1185" s="555" t="s">
        <v>1073</v>
      </c>
      <c r="I1185" s="131">
        <v>403</v>
      </c>
      <c r="J1185" s="131">
        <v>15497.679867327199</v>
      </c>
      <c r="K1185" s="21">
        <f t="shared" si="56"/>
        <v>6245565</v>
      </c>
      <c r="L1185" s="550" t="s">
        <v>166</v>
      </c>
      <c r="M1185" s="550" t="s">
        <v>161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63"/>
    </row>
    <row r="1186" spans="1:26" ht="15.75" hidden="1" customHeight="1">
      <c r="A1186" s="120" t="str">
        <f>IF(B1186&lt;&gt;"",IF(AND(B1186&gt;=_TM1,B1186&lt;=_TM2,OR(TH!L1186="1111",TH!M1186="1111")),TH!D1186,""),"")</f>
        <v/>
      </c>
      <c r="B1186" s="568">
        <f t="shared" si="60"/>
        <v>8</v>
      </c>
      <c r="C1186" s="569">
        <f t="shared" si="61"/>
        <v>42594</v>
      </c>
      <c r="D1186" s="552" t="s">
        <v>1020</v>
      </c>
      <c r="E1186" s="591">
        <v>42594</v>
      </c>
      <c r="F1186" s="592" t="s">
        <v>655</v>
      </c>
      <c r="G1186" s="593" t="s">
        <v>722</v>
      </c>
      <c r="H1186" s="555" t="s">
        <v>1073</v>
      </c>
      <c r="I1186" s="131">
        <v>1330</v>
      </c>
      <c r="J1186" s="131">
        <v>10469.177357183798</v>
      </c>
      <c r="K1186" s="21">
        <f t="shared" si="56"/>
        <v>13924006</v>
      </c>
      <c r="L1186" s="550" t="s">
        <v>166</v>
      </c>
      <c r="M1186" s="550" t="s">
        <v>161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63"/>
    </row>
    <row r="1187" spans="1:26" ht="15.75" hidden="1" customHeight="1">
      <c r="A1187" s="120" t="str">
        <f>IF(B1187&lt;&gt;"",IF(AND(B1187&gt;=_TM1,B1187&lt;=_TM2,OR(TH!L1187="1111",TH!M1187="1111")),TH!D1187,""),"")</f>
        <v/>
      </c>
      <c r="B1187" s="568">
        <f t="shared" si="60"/>
        <v>8</v>
      </c>
      <c r="C1187" s="569">
        <f t="shared" si="61"/>
        <v>42594</v>
      </c>
      <c r="D1187" s="552" t="s">
        <v>1020</v>
      </c>
      <c r="E1187" s="591">
        <v>42594</v>
      </c>
      <c r="F1187" s="592" t="s">
        <v>655</v>
      </c>
      <c r="G1187" s="593" t="s">
        <v>722</v>
      </c>
      <c r="H1187" s="555" t="s">
        <v>1073</v>
      </c>
      <c r="I1187" s="131">
        <v>80</v>
      </c>
      <c r="J1187" s="131">
        <v>10469.177357183798</v>
      </c>
      <c r="K1187" s="21">
        <f t="shared" si="56"/>
        <v>837534</v>
      </c>
      <c r="L1187" s="550" t="s">
        <v>166</v>
      </c>
      <c r="M1187" s="550" t="s">
        <v>161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63"/>
    </row>
    <row r="1188" spans="1:26" ht="15.75" hidden="1" customHeight="1">
      <c r="A1188" s="120" t="str">
        <f>IF(B1188&lt;&gt;"",IF(AND(B1188&gt;=_TM1,B1188&lt;=_TM2,OR(TH!L1188="1111",TH!M1188="1111")),TH!D1188,""),"")</f>
        <v/>
      </c>
      <c r="B1188" s="568">
        <f t="shared" si="60"/>
        <v>8</v>
      </c>
      <c r="C1188" s="569">
        <f t="shared" si="61"/>
        <v>42594</v>
      </c>
      <c r="D1188" s="552" t="s">
        <v>1020</v>
      </c>
      <c r="E1188" s="591">
        <v>42594</v>
      </c>
      <c r="F1188" s="592" t="s">
        <v>656</v>
      </c>
      <c r="G1188" s="593" t="s">
        <v>722</v>
      </c>
      <c r="H1188" s="555" t="s">
        <v>1073</v>
      </c>
      <c r="I1188" s="131">
        <v>35</v>
      </c>
      <c r="J1188" s="131">
        <v>10634.046291942599</v>
      </c>
      <c r="K1188" s="21">
        <f t="shared" si="56"/>
        <v>372192</v>
      </c>
      <c r="L1188" s="550" t="s">
        <v>166</v>
      </c>
      <c r="M1188" s="550" t="s">
        <v>161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63"/>
    </row>
    <row r="1189" spans="1:26" ht="15.75" hidden="1" customHeight="1">
      <c r="A1189" s="120" t="str">
        <f>IF(B1189&lt;&gt;"",IF(AND(B1189&gt;=_TM1,B1189&lt;=_TM2,OR(TH!L1189="1111",TH!M1189="1111")),TH!D1189,""),"")</f>
        <v/>
      </c>
      <c r="B1189" s="568">
        <f t="shared" si="60"/>
        <v>8</v>
      </c>
      <c r="C1189" s="569">
        <f t="shared" si="61"/>
        <v>42594</v>
      </c>
      <c r="D1189" s="552" t="s">
        <v>1020</v>
      </c>
      <c r="E1189" s="591">
        <v>42594</v>
      </c>
      <c r="F1189" s="592" t="s">
        <v>657</v>
      </c>
      <c r="G1189" s="593" t="s">
        <v>722</v>
      </c>
      <c r="H1189" s="555" t="s">
        <v>1073</v>
      </c>
      <c r="I1189" s="131">
        <v>90</v>
      </c>
      <c r="J1189" s="131">
        <v>8738.0535422163994</v>
      </c>
      <c r="K1189" s="21">
        <f t="shared" si="56"/>
        <v>786425</v>
      </c>
      <c r="L1189" s="550" t="s">
        <v>166</v>
      </c>
      <c r="M1189" s="550" t="s">
        <v>161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63"/>
    </row>
    <row r="1190" spans="1:26" ht="15.75" hidden="1" customHeight="1">
      <c r="A1190" s="120" t="str">
        <f>IF(B1190&lt;&gt;"",IF(AND(B1190&gt;=_TM1,B1190&lt;=_TM2,OR(TH!L1190="1111",TH!M1190="1111")),TH!D1190,""),"")</f>
        <v/>
      </c>
      <c r="B1190" s="568">
        <f t="shared" si="60"/>
        <v>8</v>
      </c>
      <c r="C1190" s="569">
        <f t="shared" si="61"/>
        <v>42594</v>
      </c>
      <c r="D1190" s="552" t="s">
        <v>1020</v>
      </c>
      <c r="E1190" s="591">
        <v>42594</v>
      </c>
      <c r="F1190" s="592" t="s">
        <v>658</v>
      </c>
      <c r="G1190" s="593" t="s">
        <v>722</v>
      </c>
      <c r="H1190" s="555" t="s">
        <v>1073</v>
      </c>
      <c r="I1190" s="131">
        <v>650</v>
      </c>
      <c r="J1190" s="131">
        <v>6842.0607924901988</v>
      </c>
      <c r="K1190" s="21">
        <f t="shared" si="56"/>
        <v>4447340</v>
      </c>
      <c r="L1190" s="550" t="s">
        <v>166</v>
      </c>
      <c r="M1190" s="550" t="s">
        <v>161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63"/>
    </row>
    <row r="1191" spans="1:26" ht="15.75" hidden="1" customHeight="1">
      <c r="A1191" s="120" t="str">
        <f>IF(B1191&lt;&gt;"",IF(AND(B1191&gt;=_TM1,B1191&lt;=_TM2,OR(TH!L1191="1111",TH!M1191="1111")),TH!D1191,""),"")</f>
        <v/>
      </c>
      <c r="B1191" s="568">
        <f t="shared" si="60"/>
        <v>8</v>
      </c>
      <c r="C1191" s="569">
        <f t="shared" si="61"/>
        <v>42594</v>
      </c>
      <c r="D1191" s="552" t="s">
        <v>1020</v>
      </c>
      <c r="E1191" s="591">
        <v>42594</v>
      </c>
      <c r="F1191" s="592" t="s">
        <v>659</v>
      </c>
      <c r="G1191" s="593" t="s">
        <v>722</v>
      </c>
      <c r="H1191" s="555" t="s">
        <v>1073</v>
      </c>
      <c r="I1191" s="131">
        <v>210</v>
      </c>
      <c r="J1191" s="131">
        <v>10881.3496940808</v>
      </c>
      <c r="K1191" s="21">
        <f t="shared" si="56"/>
        <v>2285083</v>
      </c>
      <c r="L1191" s="550" t="s">
        <v>166</v>
      </c>
      <c r="M1191" s="550" t="s">
        <v>161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63"/>
    </row>
    <row r="1192" spans="1:26" ht="15.75" hidden="1" customHeight="1">
      <c r="A1192" s="120" t="str">
        <f>IF(B1192&lt;&gt;"",IF(AND(B1192&gt;=_TM1,B1192&lt;=_TM2,OR(TH!L1192="1111",TH!M1192="1111")),TH!D1192,""),"")</f>
        <v/>
      </c>
      <c r="B1192" s="568">
        <f t="shared" si="60"/>
        <v>8</v>
      </c>
      <c r="C1192" s="569">
        <f t="shared" si="61"/>
        <v>42597</v>
      </c>
      <c r="D1192" s="552" t="s">
        <v>1020</v>
      </c>
      <c r="E1192" s="591">
        <v>42597</v>
      </c>
      <c r="F1192" s="592" t="s">
        <v>525</v>
      </c>
      <c r="G1192" s="593" t="s">
        <v>723</v>
      </c>
      <c r="H1192" s="555" t="s">
        <v>1073</v>
      </c>
      <c r="I1192" s="131">
        <v>429</v>
      </c>
      <c r="J1192" s="131">
        <v>6594.7573903519997</v>
      </c>
      <c r="K1192" s="21">
        <f t="shared" si="56"/>
        <v>2829151</v>
      </c>
      <c r="L1192" s="550" t="s">
        <v>166</v>
      </c>
      <c r="M1192" s="550" t="s">
        <v>161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63"/>
    </row>
    <row r="1193" spans="1:26" ht="15.75" hidden="1" customHeight="1">
      <c r="A1193" s="120" t="str">
        <f>IF(B1193&lt;&gt;"",IF(AND(B1193&gt;=_TM1,B1193&lt;=_TM2,OR(TH!L1193="1111",TH!M1193="1111")),TH!D1193,""),"")</f>
        <v/>
      </c>
      <c r="B1193" s="568">
        <f t="shared" si="60"/>
        <v>8</v>
      </c>
      <c r="C1193" s="569">
        <f t="shared" si="61"/>
        <v>42597</v>
      </c>
      <c r="D1193" s="552" t="s">
        <v>1020</v>
      </c>
      <c r="E1193" s="591">
        <v>42597</v>
      </c>
      <c r="F1193" s="592" t="s">
        <v>526</v>
      </c>
      <c r="G1193" s="593" t="s">
        <v>723</v>
      </c>
      <c r="H1193" s="555" t="s">
        <v>1073</v>
      </c>
      <c r="I1193" s="131">
        <v>370</v>
      </c>
      <c r="J1193" s="131">
        <v>7666.4054662842</v>
      </c>
      <c r="K1193" s="21">
        <f t="shared" si="56"/>
        <v>2836570</v>
      </c>
      <c r="L1193" s="550" t="s">
        <v>166</v>
      </c>
      <c r="M1193" s="550" t="s">
        <v>161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63"/>
    </row>
    <row r="1194" spans="1:26" ht="15.75" hidden="1" customHeight="1">
      <c r="A1194" s="120" t="str">
        <f>IF(B1194&lt;&gt;"",IF(AND(B1194&gt;=_TM1,B1194&lt;=_TM2,OR(TH!L1194="1111",TH!M1194="1111")),TH!D1194,""),"")</f>
        <v/>
      </c>
      <c r="B1194" s="568">
        <f t="shared" si="60"/>
        <v>8</v>
      </c>
      <c r="C1194" s="569">
        <f t="shared" si="61"/>
        <v>42597</v>
      </c>
      <c r="D1194" s="552" t="s">
        <v>1020</v>
      </c>
      <c r="E1194" s="591">
        <v>42597</v>
      </c>
      <c r="F1194" s="592" t="s">
        <v>527</v>
      </c>
      <c r="G1194" s="593" t="s">
        <v>724</v>
      </c>
      <c r="H1194" s="555" t="s">
        <v>1073</v>
      </c>
      <c r="I1194" s="572">
        <v>130</v>
      </c>
      <c r="J1194" s="572">
        <v>59764.988850064998</v>
      </c>
      <c r="K1194" s="21">
        <f t="shared" si="56"/>
        <v>7769449</v>
      </c>
      <c r="L1194" s="550" t="s">
        <v>166</v>
      </c>
      <c r="M1194" s="550" t="s">
        <v>161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63"/>
    </row>
    <row r="1195" spans="1:26" ht="15.75" hidden="1" customHeight="1">
      <c r="A1195" s="120" t="str">
        <f>IF(B1195&lt;&gt;"",IF(AND(B1195&gt;=_TM1,B1195&lt;=_TM2,OR(TH!L1195="1111",TH!M1195="1111")),TH!D1195,""),"")</f>
        <v/>
      </c>
      <c r="B1195" s="568">
        <f t="shared" si="60"/>
        <v>8</v>
      </c>
      <c r="C1195" s="569">
        <f t="shared" si="61"/>
        <v>42599</v>
      </c>
      <c r="D1195" s="552" t="s">
        <v>1020</v>
      </c>
      <c r="E1195" s="591">
        <v>42599</v>
      </c>
      <c r="F1195" s="592" t="s">
        <v>528</v>
      </c>
      <c r="G1195" s="593" t="s">
        <v>725</v>
      </c>
      <c r="H1195" s="555" t="s">
        <v>1073</v>
      </c>
      <c r="I1195" s="572">
        <v>309</v>
      </c>
      <c r="J1195" s="572">
        <v>6100.1505860755997</v>
      </c>
      <c r="K1195" s="21">
        <f t="shared" si="56"/>
        <v>1884947</v>
      </c>
      <c r="L1195" s="550" t="s">
        <v>166</v>
      </c>
      <c r="M1195" s="550" t="s">
        <v>161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63"/>
    </row>
    <row r="1196" spans="1:26" ht="15.75" hidden="1" customHeight="1">
      <c r="A1196" s="120" t="str">
        <f>IF(B1196&lt;&gt;"",IF(AND(B1196&gt;=_TM1,B1196&lt;=_TM2,OR(TH!L1196="1111",TH!M1196="1111")),TH!D1196,""),"")</f>
        <v/>
      </c>
      <c r="B1196" s="568">
        <f t="shared" si="60"/>
        <v>8</v>
      </c>
      <c r="C1196" s="569">
        <f t="shared" si="61"/>
        <v>42599</v>
      </c>
      <c r="D1196" s="552" t="s">
        <v>1020</v>
      </c>
      <c r="E1196" s="591">
        <v>42599</v>
      </c>
      <c r="F1196" s="592" t="s">
        <v>529</v>
      </c>
      <c r="G1196" s="593" t="s">
        <v>726</v>
      </c>
      <c r="H1196" s="555" t="s">
        <v>1073</v>
      </c>
      <c r="I1196" s="131">
        <v>19</v>
      </c>
      <c r="J1196" s="131">
        <v>11293.5220309778</v>
      </c>
      <c r="K1196" s="21">
        <f t="shared" si="56"/>
        <v>214577</v>
      </c>
      <c r="L1196" s="550" t="s">
        <v>166</v>
      </c>
      <c r="M1196" s="550" t="s">
        <v>161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63"/>
    </row>
    <row r="1197" spans="1:26" ht="15.75" hidden="1" customHeight="1">
      <c r="A1197" s="120" t="str">
        <f>IF(B1197&lt;&gt;"",IF(AND(B1197&gt;=_TM1,B1197&lt;=_TM2,OR(TH!L1197="1111",TH!M1197="1111")),TH!D1197,""),"")</f>
        <v/>
      </c>
      <c r="B1197" s="568">
        <f t="shared" si="60"/>
        <v>8</v>
      </c>
      <c r="C1197" s="569">
        <f t="shared" si="61"/>
        <v>42602</v>
      </c>
      <c r="D1197" s="552" t="s">
        <v>1020</v>
      </c>
      <c r="E1197" s="591">
        <v>42602</v>
      </c>
      <c r="F1197" s="592" t="s">
        <v>508</v>
      </c>
      <c r="G1197" s="593" t="s">
        <v>728</v>
      </c>
      <c r="H1197" s="555" t="s">
        <v>1073</v>
      </c>
      <c r="I1197" s="131">
        <v>940</v>
      </c>
      <c r="J1197" s="131">
        <v>5687.9782491785991</v>
      </c>
      <c r="K1197" s="21">
        <f t="shared" ref="K1197:K1260" si="62">ROUND(I1197*J1197,0)</f>
        <v>5346700</v>
      </c>
      <c r="L1197" s="550" t="s">
        <v>166</v>
      </c>
      <c r="M1197" s="550" t="s">
        <v>161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63"/>
    </row>
    <row r="1198" spans="1:26" ht="15.75" hidden="1" customHeight="1">
      <c r="A1198" s="120" t="str">
        <f>IF(B1198&lt;&gt;"",IF(AND(B1198&gt;=_TM1,B1198&lt;=_TM2,OR(TH!L1198="1111",TH!M1198="1111")),TH!D1198,""),"")</f>
        <v/>
      </c>
      <c r="B1198" s="568">
        <f t="shared" si="60"/>
        <v>8</v>
      </c>
      <c r="C1198" s="569">
        <f t="shared" si="61"/>
        <v>42605</v>
      </c>
      <c r="D1198" s="552" t="s">
        <v>1020</v>
      </c>
      <c r="E1198" s="591">
        <v>42605</v>
      </c>
      <c r="F1198" s="592" t="s">
        <v>683</v>
      </c>
      <c r="G1198" s="593" t="s">
        <v>729</v>
      </c>
      <c r="H1198" s="555" t="s">
        <v>1073</v>
      </c>
      <c r="I1198" s="572">
        <v>58</v>
      </c>
      <c r="J1198" s="572">
        <v>16239.590073741798</v>
      </c>
      <c r="K1198" s="21">
        <f t="shared" si="62"/>
        <v>941896</v>
      </c>
      <c r="L1198" s="550" t="s">
        <v>166</v>
      </c>
      <c r="M1198" s="550" t="s">
        <v>161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63"/>
    </row>
    <row r="1199" spans="1:26" ht="15.75" hidden="1" customHeight="1">
      <c r="A1199" s="120" t="str">
        <f>IF(B1199&lt;&gt;"",IF(AND(B1199&gt;=_TM1,B1199&lt;=_TM2,OR(TH!L1199="1111",TH!M1199="1111")),TH!D1199,""),"")</f>
        <v/>
      </c>
      <c r="B1199" s="568">
        <f t="shared" si="60"/>
        <v>8</v>
      </c>
      <c r="C1199" s="569">
        <f t="shared" si="61"/>
        <v>42605</v>
      </c>
      <c r="D1199" s="552" t="s">
        <v>1020</v>
      </c>
      <c r="E1199" s="591">
        <v>42605</v>
      </c>
      <c r="F1199" s="592" t="s">
        <v>496</v>
      </c>
      <c r="G1199" s="593" t="s">
        <v>729</v>
      </c>
      <c r="H1199" s="555" t="s">
        <v>1073</v>
      </c>
      <c r="I1199" s="131">
        <v>56</v>
      </c>
      <c r="J1199" s="131">
        <v>824.34467379399996</v>
      </c>
      <c r="K1199" s="21">
        <f t="shared" si="62"/>
        <v>46163</v>
      </c>
      <c r="L1199" s="550" t="s">
        <v>166</v>
      </c>
      <c r="M1199" s="550" t="s">
        <v>161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63"/>
    </row>
    <row r="1200" spans="1:26" ht="15.75" hidden="1" customHeight="1">
      <c r="A1200" s="120" t="str">
        <f>IF(B1200&lt;&gt;"",IF(AND(B1200&gt;=_TM1,B1200&lt;=_TM2,OR(TH!L1200="1111",TH!M1200="1111")),TH!D1200,""),"")</f>
        <v/>
      </c>
      <c r="B1200" s="568">
        <f t="shared" si="60"/>
        <v>8</v>
      </c>
      <c r="C1200" s="569">
        <f t="shared" si="61"/>
        <v>42607</v>
      </c>
      <c r="D1200" s="552" t="s">
        <v>1020</v>
      </c>
      <c r="E1200" s="591">
        <v>42607</v>
      </c>
      <c r="F1200" s="592" t="s">
        <v>651</v>
      </c>
      <c r="G1200" s="593" t="s">
        <v>730</v>
      </c>
      <c r="H1200" s="555" t="s">
        <v>1073</v>
      </c>
      <c r="I1200" s="131">
        <v>1040</v>
      </c>
      <c r="J1200" s="131">
        <v>11870.563302633598</v>
      </c>
      <c r="K1200" s="21">
        <f t="shared" si="62"/>
        <v>12345386</v>
      </c>
      <c r="L1200" s="550" t="s">
        <v>166</v>
      </c>
      <c r="M1200" s="550" t="s">
        <v>161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63"/>
    </row>
    <row r="1201" spans="1:26" ht="15.75" hidden="1" customHeight="1">
      <c r="A1201" s="120" t="str">
        <f>IF(B1201&lt;&gt;"",IF(AND(B1201&gt;=_TM1,B1201&lt;=_TM2,OR(TH!L1201="1111",TH!M1201="1111")),TH!D1201,""),"")</f>
        <v/>
      </c>
      <c r="B1201" s="568">
        <f t="shared" si="60"/>
        <v>8</v>
      </c>
      <c r="C1201" s="569">
        <f t="shared" ref="C1201:C1264" si="63">E1201</f>
        <v>42607</v>
      </c>
      <c r="D1201" s="552" t="s">
        <v>1020</v>
      </c>
      <c r="E1201" s="591">
        <v>42607</v>
      </c>
      <c r="F1201" s="592" t="s">
        <v>651</v>
      </c>
      <c r="G1201" s="593" t="s">
        <v>731</v>
      </c>
      <c r="H1201" s="555" t="s">
        <v>1073</v>
      </c>
      <c r="I1201" s="131">
        <v>110</v>
      </c>
      <c r="J1201" s="131">
        <v>11870.563302633598</v>
      </c>
      <c r="K1201" s="21">
        <f t="shared" si="62"/>
        <v>1305762</v>
      </c>
      <c r="L1201" s="550" t="s">
        <v>166</v>
      </c>
      <c r="M1201" s="550" t="s">
        <v>161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63"/>
    </row>
    <row r="1202" spans="1:26" ht="15.75" hidden="1" customHeight="1">
      <c r="A1202" s="120" t="str">
        <f>IF(B1202&lt;&gt;"",IF(AND(B1202&gt;=_TM1,B1202&lt;=_TM2,OR(TH!L1202="1111",TH!M1202="1111")),TH!D1202,""),"")</f>
        <v/>
      </c>
      <c r="B1202" s="568">
        <f t="shared" si="60"/>
        <v>8</v>
      </c>
      <c r="C1202" s="569">
        <f t="shared" si="63"/>
        <v>42608</v>
      </c>
      <c r="D1202" s="552" t="s">
        <v>1020</v>
      </c>
      <c r="E1202" s="591">
        <v>42608</v>
      </c>
      <c r="F1202" s="592" t="s">
        <v>532</v>
      </c>
      <c r="G1202" s="593" t="s">
        <v>732</v>
      </c>
      <c r="H1202" s="555" t="s">
        <v>1073</v>
      </c>
      <c r="I1202" s="131">
        <v>120</v>
      </c>
      <c r="J1202" s="131">
        <v>12612.473509048199</v>
      </c>
      <c r="K1202" s="21">
        <f t="shared" si="62"/>
        <v>1513497</v>
      </c>
      <c r="L1202" s="550" t="s">
        <v>166</v>
      </c>
      <c r="M1202" s="550" t="s">
        <v>161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63"/>
    </row>
    <row r="1203" spans="1:26" ht="15.75" hidden="1" customHeight="1">
      <c r="A1203" s="120" t="str">
        <f>IF(B1203&lt;&gt;"",IF(AND(B1203&gt;=_TM1,B1203&lt;=_TM2,OR(TH!L1203="1111",TH!M1203="1111")),TH!D1203,""),"")</f>
        <v/>
      </c>
      <c r="B1203" s="568">
        <f t="shared" si="60"/>
        <v>8</v>
      </c>
      <c r="C1203" s="569">
        <f t="shared" si="63"/>
        <v>42608</v>
      </c>
      <c r="D1203" s="552" t="s">
        <v>1020</v>
      </c>
      <c r="E1203" s="591">
        <v>42608</v>
      </c>
      <c r="F1203" s="592" t="s">
        <v>533</v>
      </c>
      <c r="G1203" s="593" t="s">
        <v>732</v>
      </c>
      <c r="H1203" s="555" t="s">
        <v>1073</v>
      </c>
      <c r="I1203" s="131">
        <v>240</v>
      </c>
      <c r="J1203" s="131">
        <v>1566.2548802085998</v>
      </c>
      <c r="K1203" s="21">
        <f t="shared" si="62"/>
        <v>375901</v>
      </c>
      <c r="L1203" s="550" t="s">
        <v>166</v>
      </c>
      <c r="M1203" s="550" t="s">
        <v>161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63"/>
    </row>
    <row r="1204" spans="1:26" ht="15.75" hidden="1" customHeight="1">
      <c r="A1204" s="120" t="str">
        <f>IF(B1204&lt;&gt;"",IF(AND(B1204&gt;=_TM1,B1204&lt;=_TM2,OR(TH!L1204="1111",TH!M1204="1111")),TH!D1204,""),"")</f>
        <v/>
      </c>
      <c r="B1204" s="568">
        <f t="shared" si="60"/>
        <v>8</v>
      </c>
      <c r="C1204" s="569">
        <f t="shared" si="63"/>
        <v>42608</v>
      </c>
      <c r="D1204" s="552" t="s">
        <v>1020</v>
      </c>
      <c r="E1204" s="591">
        <v>42608</v>
      </c>
      <c r="F1204" s="592" t="s">
        <v>513</v>
      </c>
      <c r="G1204" s="593" t="s">
        <v>733</v>
      </c>
      <c r="H1204" s="555" t="s">
        <v>1073</v>
      </c>
      <c r="I1204" s="131">
        <v>513</v>
      </c>
      <c r="J1204" s="131">
        <v>7831.2744010429988</v>
      </c>
      <c r="K1204" s="21">
        <f t="shared" si="62"/>
        <v>4017444</v>
      </c>
      <c r="L1204" s="550" t="s">
        <v>166</v>
      </c>
      <c r="M1204" s="550" t="s">
        <v>161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63"/>
    </row>
    <row r="1205" spans="1:26" ht="15.75" hidden="1" customHeight="1">
      <c r="A1205" s="120" t="str">
        <f>IF(B1205&lt;&gt;"",IF(AND(B1205&gt;=_TM1,B1205&lt;=_TM2,OR(TH!L1205="1111",TH!M1205="1111")),TH!D1205,""),"")</f>
        <v/>
      </c>
      <c r="B1205" s="568">
        <f t="shared" si="60"/>
        <v>8</v>
      </c>
      <c r="C1205" s="569">
        <f t="shared" si="63"/>
        <v>42608</v>
      </c>
      <c r="D1205" s="552" t="s">
        <v>1020</v>
      </c>
      <c r="E1205" s="591">
        <v>42608</v>
      </c>
      <c r="F1205" s="592" t="s">
        <v>534</v>
      </c>
      <c r="G1205" s="593" t="s">
        <v>734</v>
      </c>
      <c r="H1205" s="555" t="s">
        <v>1073</v>
      </c>
      <c r="I1205" s="131">
        <v>1000</v>
      </c>
      <c r="J1205" s="131">
        <v>5935.2816513167991</v>
      </c>
      <c r="K1205" s="21">
        <f t="shared" si="62"/>
        <v>5935282</v>
      </c>
      <c r="L1205" s="550" t="s">
        <v>166</v>
      </c>
      <c r="M1205" s="550" t="s">
        <v>161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63"/>
    </row>
    <row r="1206" spans="1:26" ht="15.75" hidden="1" customHeight="1">
      <c r="A1206" s="120" t="str">
        <f>IF(B1206&lt;&gt;"",IF(AND(B1206&gt;=_TM1,B1206&lt;=_TM2,OR(TH!L1206="1111",TH!M1206="1111")),TH!D1206,""),"")</f>
        <v/>
      </c>
      <c r="B1206" s="568">
        <f t="shared" si="60"/>
        <v>8</v>
      </c>
      <c r="C1206" s="569">
        <f t="shared" si="63"/>
        <v>42608</v>
      </c>
      <c r="D1206" s="552" t="s">
        <v>1020</v>
      </c>
      <c r="E1206" s="591">
        <v>42608</v>
      </c>
      <c r="F1206" s="592" t="s">
        <v>535</v>
      </c>
      <c r="G1206" s="593" t="s">
        <v>734</v>
      </c>
      <c r="H1206" s="555" t="s">
        <v>1073</v>
      </c>
      <c r="I1206" s="572">
        <v>970</v>
      </c>
      <c r="J1206" s="572">
        <v>6182.5850534549991</v>
      </c>
      <c r="K1206" s="21">
        <f t="shared" si="62"/>
        <v>5997108</v>
      </c>
      <c r="L1206" s="550" t="s">
        <v>166</v>
      </c>
      <c r="M1206" s="550" t="s">
        <v>161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63"/>
    </row>
    <row r="1207" spans="1:26" ht="15.75" hidden="1" customHeight="1">
      <c r="A1207" s="120" t="str">
        <f>IF(B1207&lt;&gt;"",IF(AND(B1207&gt;=_TM1,B1207&lt;=_TM2,OR(TH!L1207="1111",TH!M1207="1111")),TH!D1207,""),"")</f>
        <v/>
      </c>
      <c r="B1207" s="568">
        <f t="shared" si="60"/>
        <v>8</v>
      </c>
      <c r="C1207" s="569">
        <f t="shared" si="63"/>
        <v>42609</v>
      </c>
      <c r="D1207" s="552" t="s">
        <v>1020</v>
      </c>
      <c r="E1207" s="591">
        <v>42609</v>
      </c>
      <c r="F1207" s="592" t="s">
        <v>536</v>
      </c>
      <c r="G1207" s="593" t="s">
        <v>735</v>
      </c>
      <c r="H1207" s="555" t="s">
        <v>1073</v>
      </c>
      <c r="I1207" s="131">
        <v>203</v>
      </c>
      <c r="J1207" s="131">
        <v>6429.8884555932</v>
      </c>
      <c r="K1207" s="21">
        <f t="shared" si="62"/>
        <v>1305267</v>
      </c>
      <c r="L1207" s="550" t="s">
        <v>166</v>
      </c>
      <c r="M1207" s="550" t="s">
        <v>161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63"/>
    </row>
    <row r="1208" spans="1:26" ht="15.75" hidden="1" customHeight="1">
      <c r="A1208" s="120" t="str">
        <f>IF(B1208&lt;&gt;"",IF(AND(B1208&gt;=_TM1,B1208&lt;=_TM2,OR(TH!L1208="1111",TH!M1208="1111")),TH!D1208,""),"")</f>
        <v/>
      </c>
      <c r="B1208" s="568">
        <f t="shared" si="60"/>
        <v>8</v>
      </c>
      <c r="C1208" s="569">
        <f t="shared" si="63"/>
        <v>42611</v>
      </c>
      <c r="D1208" s="552" t="s">
        <v>1020</v>
      </c>
      <c r="E1208" s="591">
        <v>42611</v>
      </c>
      <c r="F1208" s="592" t="s">
        <v>527</v>
      </c>
      <c r="G1208" s="593" t="s">
        <v>736</v>
      </c>
      <c r="H1208" s="555" t="s">
        <v>1073</v>
      </c>
      <c r="I1208" s="131">
        <v>160</v>
      </c>
      <c r="J1208" s="131">
        <v>59764.988850064998</v>
      </c>
      <c r="K1208" s="21">
        <f t="shared" si="62"/>
        <v>9562398</v>
      </c>
      <c r="L1208" s="550" t="s">
        <v>166</v>
      </c>
      <c r="M1208" s="550" t="s">
        <v>161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63"/>
    </row>
    <row r="1209" spans="1:26" ht="15.75" hidden="1" customHeight="1">
      <c r="A1209" s="120" t="str">
        <f>IF(B1209&lt;&gt;"",IF(AND(B1209&gt;=_TM1,B1209&lt;=_TM2,OR(TH!L1209="1111",TH!M1209="1111")),TH!D1209,""),"")</f>
        <v/>
      </c>
      <c r="B1209" s="568">
        <f t="shared" si="60"/>
        <v>8</v>
      </c>
      <c r="C1209" s="569">
        <f t="shared" si="63"/>
        <v>42612</v>
      </c>
      <c r="D1209" s="552" t="s">
        <v>1020</v>
      </c>
      <c r="E1209" s="591">
        <v>42612</v>
      </c>
      <c r="F1209" s="592" t="s">
        <v>368</v>
      </c>
      <c r="G1209" s="593" t="s">
        <v>737</v>
      </c>
      <c r="H1209" s="555" t="s">
        <v>1073</v>
      </c>
      <c r="I1209" s="131">
        <v>500</v>
      </c>
      <c r="J1209" s="131">
        <v>19042.361964641397</v>
      </c>
      <c r="K1209" s="21">
        <f t="shared" si="62"/>
        <v>9521181</v>
      </c>
      <c r="L1209" s="550" t="s">
        <v>166</v>
      </c>
      <c r="M1209" s="550" t="s">
        <v>161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63"/>
    </row>
    <row r="1210" spans="1:26" ht="15.75" hidden="1" customHeight="1">
      <c r="A1210" s="120" t="str">
        <f>IF(B1210&lt;&gt;"",IF(AND(B1210&gt;=_TM1,B1210&lt;=_TM2,OR(TH!L1210="1111",TH!M1210="1111")),TH!D1210,""),"")</f>
        <v/>
      </c>
      <c r="B1210" s="568">
        <f t="shared" si="60"/>
        <v>8</v>
      </c>
      <c r="C1210" s="569">
        <f t="shared" si="63"/>
        <v>42613</v>
      </c>
      <c r="D1210" s="552" t="s">
        <v>1020</v>
      </c>
      <c r="E1210" s="591">
        <v>42613</v>
      </c>
      <c r="F1210" s="592" t="s">
        <v>500</v>
      </c>
      <c r="G1210" s="593" t="s">
        <v>738</v>
      </c>
      <c r="H1210" s="555" t="s">
        <v>1073</v>
      </c>
      <c r="I1210" s="131">
        <v>1500</v>
      </c>
      <c r="J1210" s="131">
        <v>9397.5292812515981</v>
      </c>
      <c r="K1210" s="21">
        <f t="shared" si="62"/>
        <v>14096294</v>
      </c>
      <c r="L1210" s="550" t="s">
        <v>166</v>
      </c>
      <c r="M1210" s="550" t="s">
        <v>161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63"/>
    </row>
    <row r="1211" spans="1:26" ht="15.75" hidden="1" customHeight="1">
      <c r="A1211" s="120" t="str">
        <f>IF(B1211&lt;&gt;"",IF(AND(B1211&gt;=_TM1,B1211&lt;=_TM2,OR(TH!L1211="1111",TH!M1211="1111")),TH!D1211,""),"")</f>
        <v/>
      </c>
      <c r="B1211" s="568">
        <f t="shared" si="60"/>
        <v>8</v>
      </c>
      <c r="C1211" s="569">
        <f t="shared" si="63"/>
        <v>42613</v>
      </c>
      <c r="D1211" s="552" t="s">
        <v>1020</v>
      </c>
      <c r="E1211" s="591">
        <v>42613</v>
      </c>
      <c r="F1211" s="592" t="s">
        <v>500</v>
      </c>
      <c r="G1211" s="593" t="s">
        <v>738</v>
      </c>
      <c r="H1211" s="555" t="s">
        <v>1073</v>
      </c>
      <c r="I1211" s="131">
        <v>400</v>
      </c>
      <c r="J1211" s="131">
        <v>9397.5292812515981</v>
      </c>
      <c r="K1211" s="21">
        <f t="shared" si="62"/>
        <v>3759012</v>
      </c>
      <c r="L1211" s="550" t="s">
        <v>166</v>
      </c>
      <c r="M1211" s="550" t="s">
        <v>161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63"/>
    </row>
    <row r="1212" spans="1:26" ht="15.75" hidden="1" customHeight="1">
      <c r="A1212" s="120" t="str">
        <f>IF(B1212&lt;&gt;"",IF(AND(B1212&gt;=_TM1,B1212&lt;=_TM2,OR(TH!L1212="1111",TH!M1212="1111")),TH!D1212,""),"")</f>
        <v/>
      </c>
      <c r="B1212" s="568">
        <f t="shared" si="60"/>
        <v>8</v>
      </c>
      <c r="C1212" s="569">
        <f t="shared" si="63"/>
        <v>42613</v>
      </c>
      <c r="D1212" s="552" t="s">
        <v>1020</v>
      </c>
      <c r="E1212" s="591">
        <v>42613</v>
      </c>
      <c r="F1212" s="592" t="s">
        <v>375</v>
      </c>
      <c r="G1212" s="593" t="s">
        <v>738</v>
      </c>
      <c r="H1212" s="555" t="s">
        <v>1073</v>
      </c>
      <c r="I1212" s="131">
        <v>3800</v>
      </c>
      <c r="J1212" s="131">
        <v>741.91020641459988</v>
      </c>
      <c r="K1212" s="21">
        <f t="shared" si="62"/>
        <v>2819259</v>
      </c>
      <c r="L1212" s="550" t="s">
        <v>166</v>
      </c>
      <c r="M1212" s="550" t="s">
        <v>161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63"/>
    </row>
    <row r="1213" spans="1:26" ht="15.75" hidden="1" customHeight="1">
      <c r="A1213" s="120" t="str">
        <f>IF(B1213&lt;&gt;"",IF(AND(B1213&gt;=_TM1,B1213&lt;=_TM2,OR(TH!L1213="1111",TH!M1213="1111")),TH!D1213,""),"")</f>
        <v/>
      </c>
      <c r="B1213" s="568">
        <f t="shared" si="60"/>
        <v>8</v>
      </c>
      <c r="C1213" s="569">
        <f t="shared" si="63"/>
        <v>42613</v>
      </c>
      <c r="D1213" s="552" t="s">
        <v>1020</v>
      </c>
      <c r="E1213" s="591">
        <v>42613</v>
      </c>
      <c r="F1213" s="592" t="s">
        <v>518</v>
      </c>
      <c r="G1213" s="593" t="s">
        <v>739</v>
      </c>
      <c r="H1213" s="555" t="s">
        <v>1073</v>
      </c>
      <c r="I1213" s="131">
        <v>819</v>
      </c>
      <c r="J1213" s="131">
        <v>6759.6263251107994</v>
      </c>
      <c r="K1213" s="21">
        <f t="shared" si="62"/>
        <v>5536134</v>
      </c>
      <c r="L1213" s="550" t="s">
        <v>166</v>
      </c>
      <c r="M1213" s="550" t="s">
        <v>161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63"/>
    </row>
    <row r="1214" spans="1:26" ht="15.75" hidden="1" customHeight="1">
      <c r="A1214" s="120" t="str">
        <f>IF(B1214&lt;&gt;"",IF(AND(B1214&gt;=_TM1,B1214&lt;=_TM2,OR(TH!L1214="1111",TH!M1214="1111")),TH!D1214,""),"")</f>
        <v/>
      </c>
      <c r="B1214" s="568">
        <f t="shared" si="60"/>
        <v>8</v>
      </c>
      <c r="C1214" s="569">
        <f t="shared" si="63"/>
        <v>42613</v>
      </c>
      <c r="D1214" s="552" t="s">
        <v>1020</v>
      </c>
      <c r="E1214" s="591">
        <v>42613</v>
      </c>
      <c r="F1214" s="592" t="s">
        <v>544</v>
      </c>
      <c r="G1214" s="593" t="s">
        <v>739</v>
      </c>
      <c r="H1214" s="555" t="s">
        <v>1073</v>
      </c>
      <c r="I1214" s="131">
        <v>610</v>
      </c>
      <c r="J1214" s="131">
        <v>7501.5365315253994</v>
      </c>
      <c r="K1214" s="21">
        <f t="shared" si="62"/>
        <v>4575937</v>
      </c>
      <c r="L1214" s="550" t="s">
        <v>166</v>
      </c>
      <c r="M1214" s="550" t="s">
        <v>161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63"/>
    </row>
    <row r="1215" spans="1:26" ht="15.75" hidden="1" customHeight="1">
      <c r="A1215" s="120" t="str">
        <f>IF(B1215&lt;&gt;"",IF(AND(B1215&gt;=_TM1,B1215&lt;=_TM2,OR(TH!L1215="1111",TH!M1215="1111")),TH!D1215,""),"")</f>
        <v/>
      </c>
      <c r="B1215" s="568">
        <f t="shared" si="60"/>
        <v>8</v>
      </c>
      <c r="C1215" s="569">
        <f t="shared" si="63"/>
        <v>42613</v>
      </c>
      <c r="D1215" s="552" t="s">
        <v>1020</v>
      </c>
      <c r="E1215" s="591">
        <v>42613</v>
      </c>
      <c r="F1215" s="592" t="s">
        <v>520</v>
      </c>
      <c r="G1215" s="593" t="s">
        <v>739</v>
      </c>
      <c r="H1215" s="555" t="s">
        <v>1073</v>
      </c>
      <c r="I1215" s="572">
        <v>599</v>
      </c>
      <c r="J1215" s="572">
        <v>13024.645845945199</v>
      </c>
      <c r="K1215" s="21">
        <f t="shared" si="62"/>
        <v>7801763</v>
      </c>
      <c r="L1215" s="550" t="s">
        <v>166</v>
      </c>
      <c r="M1215" s="550" t="s">
        <v>161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63"/>
    </row>
    <row r="1216" spans="1:26" ht="15.75" hidden="1" customHeight="1">
      <c r="A1216" s="120" t="str">
        <f>IF(B1216&lt;&gt;"",IF(AND(B1216&gt;=_TM1,B1216&lt;=_TM2,OR(TH!L1216="1111",TH!M1216="1111")),TH!D1216,""),"")</f>
        <v/>
      </c>
      <c r="B1216" s="568">
        <f t="shared" si="60"/>
        <v>8</v>
      </c>
      <c r="C1216" s="569">
        <f t="shared" si="63"/>
        <v>42613</v>
      </c>
      <c r="D1216" s="552" t="s">
        <v>1020</v>
      </c>
      <c r="E1216" s="591">
        <v>42613</v>
      </c>
      <c r="F1216" s="592" t="s">
        <v>623</v>
      </c>
      <c r="G1216" s="593" t="s">
        <v>739</v>
      </c>
      <c r="H1216" s="555" t="s">
        <v>1073</v>
      </c>
      <c r="I1216" s="572">
        <v>305</v>
      </c>
      <c r="J1216" s="572">
        <v>15827.417736844798</v>
      </c>
      <c r="K1216" s="21">
        <f t="shared" si="62"/>
        <v>4827362</v>
      </c>
      <c r="L1216" s="550" t="s">
        <v>166</v>
      </c>
      <c r="M1216" s="550" t="s">
        <v>161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63"/>
    </row>
    <row r="1217" spans="1:26" ht="15.75" hidden="1" customHeight="1">
      <c r="A1217" s="120" t="str">
        <f>IF(B1217&lt;&gt;"",IF(AND(B1217&gt;=_TM1,B1217&lt;=_TM2,OR(TH!L1217="1111",TH!M1217="1111")),TH!D1217,""),"")</f>
        <v/>
      </c>
      <c r="B1217" s="568">
        <f t="shared" si="60"/>
        <v>9</v>
      </c>
      <c r="C1217" s="569">
        <f t="shared" si="63"/>
        <v>42614</v>
      </c>
      <c r="D1217" s="552" t="s">
        <v>1020</v>
      </c>
      <c r="E1217" s="591">
        <v>42614</v>
      </c>
      <c r="F1217" s="592" t="s">
        <v>538</v>
      </c>
      <c r="G1217" s="593" t="s">
        <v>740</v>
      </c>
      <c r="H1217" s="555" t="s">
        <v>1073</v>
      </c>
      <c r="I1217" s="131">
        <v>504</v>
      </c>
      <c r="J1217" s="131">
        <v>7996.1433358017994</v>
      </c>
      <c r="K1217" s="21">
        <f t="shared" si="62"/>
        <v>4030056</v>
      </c>
      <c r="L1217" s="550" t="s">
        <v>166</v>
      </c>
      <c r="M1217" s="550" t="s">
        <v>161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63"/>
    </row>
    <row r="1218" spans="1:26" ht="15.75" hidden="1" customHeight="1">
      <c r="A1218" s="120" t="str">
        <f>IF(B1218&lt;&gt;"",IF(AND(B1218&gt;=_TM1,B1218&lt;=_TM2,OR(TH!L1218="1111",TH!M1218="1111")),TH!D1218,""),"")</f>
        <v/>
      </c>
      <c r="B1218" s="568">
        <f t="shared" si="60"/>
        <v>9</v>
      </c>
      <c r="C1218" s="569">
        <f t="shared" si="63"/>
        <v>42614</v>
      </c>
      <c r="D1218" s="552" t="s">
        <v>1020</v>
      </c>
      <c r="E1218" s="591">
        <v>42614</v>
      </c>
      <c r="F1218" s="592" t="s">
        <v>539</v>
      </c>
      <c r="G1218" s="593" t="s">
        <v>741</v>
      </c>
      <c r="H1218" s="555" t="s">
        <v>1073</v>
      </c>
      <c r="I1218" s="131">
        <v>2660</v>
      </c>
      <c r="J1218" s="131">
        <v>5358.2403796609997</v>
      </c>
      <c r="K1218" s="21">
        <f t="shared" si="62"/>
        <v>14252919</v>
      </c>
      <c r="L1218" s="550" t="s">
        <v>166</v>
      </c>
      <c r="M1218" s="550" t="s">
        <v>161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63"/>
    </row>
    <row r="1219" spans="1:26" ht="15.75" hidden="1" customHeight="1">
      <c r="A1219" s="120" t="str">
        <f>IF(B1219&lt;&gt;"",IF(AND(B1219&gt;=_TM1,B1219&lt;=_TM2,OR(TH!L1219="1111",TH!M1219="1111")),TH!D1219,""),"")</f>
        <v/>
      </c>
      <c r="B1219" s="568">
        <f t="shared" si="60"/>
        <v>9</v>
      </c>
      <c r="C1219" s="569">
        <f t="shared" si="63"/>
        <v>42618</v>
      </c>
      <c r="D1219" s="552" t="s">
        <v>1020</v>
      </c>
      <c r="E1219" s="591">
        <v>42618</v>
      </c>
      <c r="F1219" s="592" t="s">
        <v>649</v>
      </c>
      <c r="G1219" s="593" t="s">
        <v>742</v>
      </c>
      <c r="H1219" s="555" t="s">
        <v>1073</v>
      </c>
      <c r="I1219" s="131">
        <v>412</v>
      </c>
      <c r="J1219" s="131">
        <v>8573.1846074575988</v>
      </c>
      <c r="K1219" s="21">
        <f t="shared" si="62"/>
        <v>3532152</v>
      </c>
      <c r="L1219" s="550" t="s">
        <v>166</v>
      </c>
      <c r="M1219" s="550" t="s">
        <v>161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63"/>
    </row>
    <row r="1220" spans="1:26" ht="15.75" hidden="1" customHeight="1">
      <c r="A1220" s="120" t="str">
        <f>IF(B1220&lt;&gt;"",IF(AND(B1220&gt;=_TM1,B1220&lt;=_TM2,OR(TH!L1220="1111",TH!M1220="1111")),TH!D1220,""),"")</f>
        <v/>
      </c>
      <c r="B1220" s="568">
        <f t="shared" si="60"/>
        <v>9</v>
      </c>
      <c r="C1220" s="569">
        <f t="shared" si="63"/>
        <v>42618</v>
      </c>
      <c r="D1220" s="552" t="s">
        <v>1020</v>
      </c>
      <c r="E1220" s="591">
        <v>42618</v>
      </c>
      <c r="F1220" s="592" t="s">
        <v>498</v>
      </c>
      <c r="G1220" s="593" t="s">
        <v>742</v>
      </c>
      <c r="H1220" s="555" t="s">
        <v>1073</v>
      </c>
      <c r="I1220" s="131">
        <v>382</v>
      </c>
      <c r="J1220" s="131">
        <v>10551.611824563199</v>
      </c>
      <c r="K1220" s="21">
        <f t="shared" si="62"/>
        <v>4030716</v>
      </c>
      <c r="L1220" s="550" t="s">
        <v>166</v>
      </c>
      <c r="M1220" s="550" t="s">
        <v>161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63"/>
    </row>
    <row r="1221" spans="1:26" ht="15.75" hidden="1" customHeight="1">
      <c r="A1221" s="120" t="str">
        <f>IF(B1221&lt;&gt;"",IF(AND(B1221&gt;=_TM1,B1221&lt;=_TM2,OR(TH!L1221="1111",TH!M1221="1111")),TH!D1221,""),"")</f>
        <v/>
      </c>
      <c r="B1221" s="568">
        <f t="shared" si="60"/>
        <v>9</v>
      </c>
      <c r="C1221" s="569">
        <f t="shared" si="63"/>
        <v>42618</v>
      </c>
      <c r="D1221" s="552" t="s">
        <v>1020</v>
      </c>
      <c r="E1221" s="591">
        <v>42618</v>
      </c>
      <c r="F1221" s="592" t="s">
        <v>498</v>
      </c>
      <c r="G1221" s="593" t="s">
        <v>742</v>
      </c>
      <c r="H1221" s="555" t="s">
        <v>1073</v>
      </c>
      <c r="I1221" s="131">
        <v>110</v>
      </c>
      <c r="J1221" s="131">
        <v>10551.611824563199</v>
      </c>
      <c r="K1221" s="21">
        <f t="shared" si="62"/>
        <v>1160677</v>
      </c>
      <c r="L1221" s="550" t="s">
        <v>166</v>
      </c>
      <c r="M1221" s="550" t="s">
        <v>161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63"/>
    </row>
    <row r="1222" spans="1:26" ht="15.75" hidden="1" customHeight="1">
      <c r="A1222" s="120" t="str">
        <f>IF(B1222&lt;&gt;"",IF(AND(B1222&gt;=_TM1,B1222&lt;=_TM2,OR(TH!L1222="1111",TH!M1222="1111")),TH!D1222,""),"")</f>
        <v/>
      </c>
      <c r="B1222" s="568">
        <f t="shared" si="60"/>
        <v>9</v>
      </c>
      <c r="C1222" s="569">
        <f t="shared" si="63"/>
        <v>42618</v>
      </c>
      <c r="D1222" s="552" t="s">
        <v>1020</v>
      </c>
      <c r="E1222" s="591">
        <v>42618</v>
      </c>
      <c r="F1222" s="592" t="s">
        <v>650</v>
      </c>
      <c r="G1222" s="593" t="s">
        <v>742</v>
      </c>
      <c r="H1222" s="555" t="s">
        <v>1073</v>
      </c>
      <c r="I1222" s="131">
        <v>110</v>
      </c>
      <c r="J1222" s="131">
        <v>7006.9297272489994</v>
      </c>
      <c r="K1222" s="21">
        <f t="shared" si="62"/>
        <v>770762</v>
      </c>
      <c r="L1222" s="550" t="s">
        <v>166</v>
      </c>
      <c r="M1222" s="550" t="s">
        <v>161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63"/>
    </row>
    <row r="1223" spans="1:26" ht="15.75" hidden="1" customHeight="1">
      <c r="A1223" s="120" t="str">
        <f>IF(B1223&lt;&gt;"",IF(AND(B1223&gt;=_TM1,B1223&lt;=_TM2,OR(TH!L1223="1111",TH!M1223="1111")),TH!D1223,""),"")</f>
        <v/>
      </c>
      <c r="B1223" s="568">
        <f t="shared" si="60"/>
        <v>9</v>
      </c>
      <c r="C1223" s="569">
        <f t="shared" si="63"/>
        <v>42618</v>
      </c>
      <c r="D1223" s="552" t="s">
        <v>1020</v>
      </c>
      <c r="E1223" s="591">
        <v>42618</v>
      </c>
      <c r="F1223" s="592" t="s">
        <v>651</v>
      </c>
      <c r="G1223" s="593" t="s">
        <v>743</v>
      </c>
      <c r="H1223" s="555" t="s">
        <v>1073</v>
      </c>
      <c r="I1223" s="131">
        <v>65</v>
      </c>
      <c r="J1223" s="131">
        <v>11870.563302633598</v>
      </c>
      <c r="K1223" s="21">
        <f t="shared" si="62"/>
        <v>771587</v>
      </c>
      <c r="L1223" s="550" t="s">
        <v>166</v>
      </c>
      <c r="M1223" s="550" t="s">
        <v>161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63"/>
    </row>
    <row r="1224" spans="1:26" ht="15.75" hidden="1" customHeight="1">
      <c r="A1224" s="120" t="str">
        <f>IF(B1224&lt;&gt;"",IF(AND(B1224&gt;=_TM1,B1224&lt;=_TM2,OR(TH!L1224="1111",TH!M1224="1111")),TH!D1224,""),"")</f>
        <v/>
      </c>
      <c r="B1224" s="568">
        <f t="shared" si="60"/>
        <v>9</v>
      </c>
      <c r="C1224" s="569">
        <f t="shared" si="63"/>
        <v>42618</v>
      </c>
      <c r="D1224" s="552" t="s">
        <v>1020</v>
      </c>
      <c r="E1224" s="591">
        <v>42618</v>
      </c>
      <c r="F1224" s="592" t="s">
        <v>652</v>
      </c>
      <c r="G1224" s="593" t="s">
        <v>743</v>
      </c>
      <c r="H1224" s="555" t="s">
        <v>1073</v>
      </c>
      <c r="I1224" s="131">
        <v>917</v>
      </c>
      <c r="J1224" s="131">
        <v>8820.4880095957997</v>
      </c>
      <c r="K1224" s="21">
        <f t="shared" si="62"/>
        <v>8088388</v>
      </c>
      <c r="L1224" s="550" t="s">
        <v>166</v>
      </c>
      <c r="M1224" s="550" t="s">
        <v>161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63"/>
    </row>
    <row r="1225" spans="1:26" ht="15.75" hidden="1" customHeight="1">
      <c r="A1225" s="120" t="str">
        <f>IF(B1225&lt;&gt;"",IF(AND(B1225&gt;=_TM1,B1225&lt;=_TM2,OR(TH!L1225="1111",TH!M1225="1111")),TH!D1225,""),"")</f>
        <v/>
      </c>
      <c r="B1225" s="568">
        <f t="shared" si="60"/>
        <v>9</v>
      </c>
      <c r="C1225" s="569">
        <f t="shared" si="63"/>
        <v>42618</v>
      </c>
      <c r="D1225" s="552" t="s">
        <v>1020</v>
      </c>
      <c r="E1225" s="591">
        <v>42618</v>
      </c>
      <c r="F1225" s="592" t="s">
        <v>498</v>
      </c>
      <c r="G1225" s="593" t="s">
        <v>743</v>
      </c>
      <c r="H1225" s="555" t="s">
        <v>1073</v>
      </c>
      <c r="I1225" s="131">
        <v>72</v>
      </c>
      <c r="J1225" s="131">
        <v>10551.611824563199</v>
      </c>
      <c r="K1225" s="21">
        <f t="shared" si="62"/>
        <v>759716</v>
      </c>
      <c r="L1225" s="550" t="s">
        <v>166</v>
      </c>
      <c r="M1225" s="550" t="s">
        <v>161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63"/>
    </row>
    <row r="1226" spans="1:26" ht="15.75" hidden="1" customHeight="1">
      <c r="A1226" s="120" t="str">
        <f>IF(B1226&lt;&gt;"",IF(AND(B1226&gt;=_TM1,B1226&lt;=_TM2,OR(TH!L1226="1111",TH!M1226="1111")),TH!D1226,""),"")</f>
        <v/>
      </c>
      <c r="B1226" s="568">
        <f t="shared" si="60"/>
        <v>9</v>
      </c>
      <c r="C1226" s="569">
        <f t="shared" si="63"/>
        <v>42619</v>
      </c>
      <c r="D1226" s="552" t="s">
        <v>1020</v>
      </c>
      <c r="E1226" s="591">
        <v>42619</v>
      </c>
      <c r="F1226" s="592" t="s">
        <v>508</v>
      </c>
      <c r="G1226" s="593" t="s">
        <v>744</v>
      </c>
      <c r="H1226" s="555" t="s">
        <v>1073</v>
      </c>
      <c r="I1226" s="131">
        <v>1036</v>
      </c>
      <c r="J1226" s="131">
        <v>5687.9782491785991</v>
      </c>
      <c r="K1226" s="21">
        <f t="shared" si="62"/>
        <v>5892745</v>
      </c>
      <c r="L1226" s="550" t="s">
        <v>166</v>
      </c>
      <c r="M1226" s="550" t="s">
        <v>161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63"/>
    </row>
    <row r="1227" spans="1:26" ht="15.75" hidden="1" customHeight="1">
      <c r="A1227" s="120" t="str">
        <f>IF(B1227&lt;&gt;"",IF(AND(B1227&gt;=_TM1,B1227&lt;=_TM2,OR(TH!L1227="1111",TH!M1227="1111")),TH!D1227,""),"")</f>
        <v/>
      </c>
      <c r="B1227" s="568">
        <f t="shared" si="60"/>
        <v>9</v>
      </c>
      <c r="C1227" s="569">
        <f t="shared" si="63"/>
        <v>42619</v>
      </c>
      <c r="D1227" s="552" t="s">
        <v>1020</v>
      </c>
      <c r="E1227" s="591">
        <v>42619</v>
      </c>
      <c r="F1227" s="592" t="s">
        <v>662</v>
      </c>
      <c r="G1227" s="593" t="s">
        <v>746</v>
      </c>
      <c r="H1227" s="555" t="s">
        <v>1073</v>
      </c>
      <c r="I1227" s="131">
        <v>212</v>
      </c>
      <c r="J1227" s="131">
        <v>7748.8399336635994</v>
      </c>
      <c r="K1227" s="21">
        <f t="shared" si="62"/>
        <v>1642754</v>
      </c>
      <c r="L1227" s="550" t="s">
        <v>166</v>
      </c>
      <c r="M1227" s="550" t="s">
        <v>161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63"/>
    </row>
    <row r="1228" spans="1:26" ht="15.75" hidden="1" customHeight="1">
      <c r="A1228" s="120" t="str">
        <f>IF(B1228&lt;&gt;"",IF(AND(B1228&gt;=_TM1,B1228&lt;=_TM2,OR(TH!L1228="1111",TH!M1228="1111")),TH!D1228,""),"")</f>
        <v/>
      </c>
      <c r="B1228" s="568">
        <f t="shared" si="60"/>
        <v>9</v>
      </c>
      <c r="C1228" s="569">
        <f t="shared" si="63"/>
        <v>42620</v>
      </c>
      <c r="D1228" s="552" t="s">
        <v>1020</v>
      </c>
      <c r="E1228" s="591">
        <v>42620</v>
      </c>
      <c r="F1228" s="592" t="s">
        <v>527</v>
      </c>
      <c r="G1228" s="593" t="s">
        <v>748</v>
      </c>
      <c r="H1228" s="555" t="s">
        <v>1073</v>
      </c>
      <c r="I1228" s="131">
        <v>60</v>
      </c>
      <c r="J1228" s="131">
        <v>59764.988850064998</v>
      </c>
      <c r="K1228" s="21">
        <f t="shared" si="62"/>
        <v>3585899</v>
      </c>
      <c r="L1228" s="550" t="s">
        <v>166</v>
      </c>
      <c r="M1228" s="550" t="s">
        <v>161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63"/>
    </row>
    <row r="1229" spans="1:26" ht="15.75" hidden="1" customHeight="1">
      <c r="A1229" s="120" t="str">
        <f>IF(B1229&lt;&gt;"",IF(AND(B1229&gt;=_TM1,B1229&lt;=_TM2,OR(TH!L1229="1111",TH!M1229="1111")),TH!D1229,""),"")</f>
        <v/>
      </c>
      <c r="B1229" s="568">
        <f t="shared" si="60"/>
        <v>9</v>
      </c>
      <c r="C1229" s="569">
        <f t="shared" si="63"/>
        <v>42620</v>
      </c>
      <c r="D1229" s="552" t="s">
        <v>1020</v>
      </c>
      <c r="E1229" s="591">
        <v>42620</v>
      </c>
      <c r="F1229" s="592" t="s">
        <v>664</v>
      </c>
      <c r="G1229" s="593" t="s">
        <v>748</v>
      </c>
      <c r="H1229" s="555" t="s">
        <v>1073</v>
      </c>
      <c r="I1229" s="131">
        <v>20</v>
      </c>
      <c r="J1229" s="131">
        <v>69739.559402972402</v>
      </c>
      <c r="K1229" s="21">
        <f t="shared" si="62"/>
        <v>1394791</v>
      </c>
      <c r="L1229" s="550" t="s">
        <v>166</v>
      </c>
      <c r="M1229" s="550" t="s">
        <v>161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63"/>
    </row>
    <row r="1230" spans="1:26" ht="15.75" hidden="1" customHeight="1">
      <c r="A1230" s="120" t="str">
        <f>IF(B1230&lt;&gt;"",IF(AND(B1230&gt;=_TM1,B1230&lt;=_TM2,OR(TH!L1230="1111",TH!M1230="1111")),TH!D1230,""),"")</f>
        <v/>
      </c>
      <c r="B1230" s="568">
        <f t="shared" si="60"/>
        <v>9</v>
      </c>
      <c r="C1230" s="569">
        <f t="shared" si="63"/>
        <v>42621</v>
      </c>
      <c r="D1230" s="552" t="s">
        <v>1020</v>
      </c>
      <c r="E1230" s="591">
        <v>42621</v>
      </c>
      <c r="F1230" s="592" t="s">
        <v>541</v>
      </c>
      <c r="G1230" s="593" t="s">
        <v>749</v>
      </c>
      <c r="H1230" s="555" t="s">
        <v>1073</v>
      </c>
      <c r="I1230" s="131">
        <v>1027</v>
      </c>
      <c r="J1230" s="131">
        <v>4616.3301732463997</v>
      </c>
      <c r="K1230" s="21">
        <f t="shared" si="62"/>
        <v>4740971</v>
      </c>
      <c r="L1230" s="550" t="s">
        <v>166</v>
      </c>
      <c r="M1230" s="550" t="s">
        <v>161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63"/>
    </row>
    <row r="1231" spans="1:26" ht="15.75" hidden="1" customHeight="1">
      <c r="A1231" s="120" t="str">
        <f>IF(B1231&lt;&gt;"",IF(AND(B1231&gt;=_TM1,B1231&lt;=_TM2,OR(TH!L1231="1111",TH!M1231="1111")),TH!D1231,""),"")</f>
        <v/>
      </c>
      <c r="B1231" s="568">
        <f t="shared" si="60"/>
        <v>9</v>
      </c>
      <c r="C1231" s="569">
        <f t="shared" si="63"/>
        <v>42621</v>
      </c>
      <c r="D1231" s="552" t="s">
        <v>1020</v>
      </c>
      <c r="E1231" s="591">
        <v>42621</v>
      </c>
      <c r="F1231" s="592" t="s">
        <v>644</v>
      </c>
      <c r="G1231" s="593" t="s">
        <v>750</v>
      </c>
      <c r="H1231" s="555" t="s">
        <v>1073</v>
      </c>
      <c r="I1231" s="131">
        <v>300</v>
      </c>
      <c r="J1231" s="131">
        <v>10221.873955045599</v>
      </c>
      <c r="K1231" s="21">
        <f t="shared" si="62"/>
        <v>3066562</v>
      </c>
      <c r="L1231" s="550" t="s">
        <v>166</v>
      </c>
      <c r="M1231" s="550" t="s">
        <v>161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63"/>
    </row>
    <row r="1232" spans="1:26" ht="15.75" hidden="1" customHeight="1">
      <c r="A1232" s="120" t="str">
        <f>IF(B1232&lt;&gt;"",IF(AND(B1232&gt;=_TM1,B1232&lt;=_TM2,OR(TH!L1232="1111",TH!M1232="1111")),TH!D1232,""),"")</f>
        <v/>
      </c>
      <c r="B1232" s="568">
        <f t="shared" si="60"/>
        <v>9</v>
      </c>
      <c r="C1232" s="569">
        <f t="shared" si="63"/>
        <v>42621</v>
      </c>
      <c r="D1232" s="552" t="s">
        <v>1020</v>
      </c>
      <c r="E1232" s="591">
        <v>42621</v>
      </c>
      <c r="F1232" s="592" t="s">
        <v>645</v>
      </c>
      <c r="G1232" s="593" t="s">
        <v>750</v>
      </c>
      <c r="H1232" s="555" t="s">
        <v>1073</v>
      </c>
      <c r="I1232" s="131">
        <v>300</v>
      </c>
      <c r="J1232" s="131">
        <v>12530.039041668799</v>
      </c>
      <c r="K1232" s="21">
        <f t="shared" si="62"/>
        <v>3759012</v>
      </c>
      <c r="L1232" s="550" t="s">
        <v>166</v>
      </c>
      <c r="M1232" s="550" t="s">
        <v>161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63"/>
    </row>
    <row r="1233" spans="1:26" ht="15.75" hidden="1" customHeight="1">
      <c r="A1233" s="120" t="str">
        <f>IF(B1233&lt;&gt;"",IF(AND(B1233&gt;=_TM1,B1233&lt;=_TM2,OR(TH!L1233="1111",TH!M1233="1111")),TH!D1233,""),"")</f>
        <v/>
      </c>
      <c r="B1233" s="568">
        <f t="shared" si="60"/>
        <v>9</v>
      </c>
      <c r="C1233" s="569">
        <f t="shared" si="63"/>
        <v>42621</v>
      </c>
      <c r="D1233" s="552" t="s">
        <v>1020</v>
      </c>
      <c r="E1233" s="591">
        <v>42621</v>
      </c>
      <c r="F1233" s="592" t="s">
        <v>648</v>
      </c>
      <c r="G1233" s="593" t="s">
        <v>750</v>
      </c>
      <c r="H1233" s="555" t="s">
        <v>1073</v>
      </c>
      <c r="I1233" s="131">
        <v>300</v>
      </c>
      <c r="J1233" s="131">
        <v>8985.3569443546003</v>
      </c>
      <c r="K1233" s="21">
        <f t="shared" si="62"/>
        <v>2695607</v>
      </c>
      <c r="L1233" s="550" t="s">
        <v>166</v>
      </c>
      <c r="M1233" s="550" t="s">
        <v>161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63"/>
    </row>
    <row r="1234" spans="1:26" ht="15.75" hidden="1" customHeight="1">
      <c r="A1234" s="120" t="str">
        <f>IF(B1234&lt;&gt;"",IF(AND(B1234&gt;=_TM1,B1234&lt;=_TM2,OR(TH!L1234="1111",TH!M1234="1111")),TH!D1234,""),"")</f>
        <v/>
      </c>
      <c r="B1234" s="568">
        <f t="shared" si="60"/>
        <v>9</v>
      </c>
      <c r="C1234" s="569">
        <f t="shared" si="63"/>
        <v>42621</v>
      </c>
      <c r="D1234" s="552" t="s">
        <v>1020</v>
      </c>
      <c r="E1234" s="591">
        <v>42621</v>
      </c>
      <c r="F1234" s="592" t="s">
        <v>646</v>
      </c>
      <c r="G1234" s="593" t="s">
        <v>750</v>
      </c>
      <c r="H1234" s="555" t="s">
        <v>1073</v>
      </c>
      <c r="I1234" s="131">
        <v>300</v>
      </c>
      <c r="J1234" s="131">
        <v>9974.5705529073985</v>
      </c>
      <c r="K1234" s="21">
        <f t="shared" si="62"/>
        <v>2992371</v>
      </c>
      <c r="L1234" s="550" t="s">
        <v>166</v>
      </c>
      <c r="M1234" s="550" t="s">
        <v>161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63"/>
    </row>
    <row r="1235" spans="1:26" ht="15.75" hidden="1" customHeight="1">
      <c r="A1235" s="120" t="str">
        <f>IF(B1235&lt;&gt;"",IF(AND(B1235&gt;=_TM1,B1235&lt;=_TM2,OR(TH!L1235="1111",TH!M1235="1111")),TH!D1235,""),"")</f>
        <v/>
      </c>
      <c r="B1235" s="568">
        <f t="shared" si="60"/>
        <v>9</v>
      </c>
      <c r="C1235" s="569">
        <f t="shared" si="63"/>
        <v>42621</v>
      </c>
      <c r="D1235" s="552" t="s">
        <v>1020</v>
      </c>
      <c r="E1235" s="591">
        <v>42621</v>
      </c>
      <c r="F1235" s="592" t="s">
        <v>647</v>
      </c>
      <c r="G1235" s="593" t="s">
        <v>750</v>
      </c>
      <c r="H1235" s="555" t="s">
        <v>1073</v>
      </c>
      <c r="I1235" s="131">
        <v>300</v>
      </c>
      <c r="J1235" s="131">
        <v>10963.7841614602</v>
      </c>
      <c r="K1235" s="21">
        <f t="shared" si="62"/>
        <v>3289135</v>
      </c>
      <c r="L1235" s="550" t="s">
        <v>166</v>
      </c>
      <c r="M1235" s="550" t="s">
        <v>161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63"/>
    </row>
    <row r="1236" spans="1:26" ht="15.75" hidden="1" customHeight="1">
      <c r="A1236" s="120" t="str">
        <f>IF(B1236&lt;&gt;"",IF(AND(B1236&gt;=_TM1,B1236&lt;=_TM2,OR(TH!L1236="1111",TH!M1236="1111")),TH!D1236,""),"")</f>
        <v/>
      </c>
      <c r="B1236" s="568">
        <f t="shared" si="60"/>
        <v>9</v>
      </c>
      <c r="C1236" s="569">
        <f t="shared" si="63"/>
        <v>42624</v>
      </c>
      <c r="D1236" s="552" t="s">
        <v>1020</v>
      </c>
      <c r="E1236" s="591">
        <v>42624</v>
      </c>
      <c r="F1236" s="592" t="s">
        <v>543</v>
      </c>
      <c r="G1236" s="593" t="s">
        <v>751</v>
      </c>
      <c r="H1236" s="555" t="s">
        <v>1073</v>
      </c>
      <c r="I1236" s="131">
        <v>10520</v>
      </c>
      <c r="J1236" s="131">
        <v>6759.6263251107994</v>
      </c>
      <c r="K1236" s="21">
        <f t="shared" si="62"/>
        <v>71111269</v>
      </c>
      <c r="L1236" s="550" t="s">
        <v>166</v>
      </c>
      <c r="M1236" s="550" t="s">
        <v>161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63"/>
    </row>
    <row r="1237" spans="1:26" ht="15.75" hidden="1" customHeight="1">
      <c r="A1237" s="120" t="str">
        <f>IF(B1237&lt;&gt;"",IF(AND(B1237&gt;=_TM1,B1237&lt;=_TM2,OR(TH!L1237="1111",TH!M1237="1111")),TH!D1237,""),"")</f>
        <v/>
      </c>
      <c r="B1237" s="568">
        <f t="shared" si="60"/>
        <v>9</v>
      </c>
      <c r="C1237" s="569">
        <f t="shared" si="63"/>
        <v>42626</v>
      </c>
      <c r="D1237" s="552" t="s">
        <v>1020</v>
      </c>
      <c r="E1237" s="591">
        <v>42626</v>
      </c>
      <c r="F1237" s="592" t="s">
        <v>662</v>
      </c>
      <c r="G1237" s="593" t="s">
        <v>752</v>
      </c>
      <c r="H1237" s="555" t="s">
        <v>1073</v>
      </c>
      <c r="I1237" s="131">
        <v>210</v>
      </c>
      <c r="J1237" s="131">
        <v>7748.8399336635994</v>
      </c>
      <c r="K1237" s="21">
        <f t="shared" si="62"/>
        <v>1627256</v>
      </c>
      <c r="L1237" s="550" t="s">
        <v>166</v>
      </c>
      <c r="M1237" s="550" t="s">
        <v>161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63"/>
    </row>
    <row r="1238" spans="1:26" ht="15.75" hidden="1" customHeight="1">
      <c r="A1238" s="120" t="str">
        <f>IF(B1238&lt;&gt;"",IF(AND(B1238&gt;=_TM1,B1238&lt;=_TM2,OR(TH!L1238="1111",TH!M1238="1111")),TH!D1238,""),"")</f>
        <v/>
      </c>
      <c r="B1238" s="568">
        <f t="shared" si="60"/>
        <v>9</v>
      </c>
      <c r="C1238" s="569">
        <f t="shared" si="63"/>
        <v>42626</v>
      </c>
      <c r="D1238" s="552" t="s">
        <v>1020</v>
      </c>
      <c r="E1238" s="591">
        <v>42626</v>
      </c>
      <c r="F1238" s="592" t="s">
        <v>663</v>
      </c>
      <c r="G1238" s="593" t="s">
        <v>752</v>
      </c>
      <c r="H1238" s="555" t="s">
        <v>1073</v>
      </c>
      <c r="I1238" s="131">
        <v>200</v>
      </c>
      <c r="J1238" s="131">
        <v>7089.3641946283997</v>
      </c>
      <c r="K1238" s="21">
        <f t="shared" si="62"/>
        <v>1417873</v>
      </c>
      <c r="L1238" s="550" t="s">
        <v>166</v>
      </c>
      <c r="M1238" s="550" t="s">
        <v>161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63"/>
    </row>
    <row r="1239" spans="1:26" ht="15.75" hidden="1" customHeight="1">
      <c r="A1239" s="120" t="str">
        <f>IF(B1239&lt;&gt;"",IF(AND(B1239&gt;=_TM1,B1239&lt;=_TM2,OR(TH!L1239="1111",TH!M1239="1111")),TH!D1239,""),"")</f>
        <v/>
      </c>
      <c r="B1239" s="568">
        <f t="shared" si="60"/>
        <v>9</v>
      </c>
      <c r="C1239" s="569">
        <f t="shared" si="63"/>
        <v>42626</v>
      </c>
      <c r="D1239" s="552" t="s">
        <v>1020</v>
      </c>
      <c r="E1239" s="591">
        <v>42626</v>
      </c>
      <c r="F1239" s="592" t="s">
        <v>661</v>
      </c>
      <c r="G1239" s="593" t="s">
        <v>752</v>
      </c>
      <c r="H1239" s="555" t="s">
        <v>1073</v>
      </c>
      <c r="I1239" s="131">
        <v>171</v>
      </c>
      <c r="J1239" s="131">
        <v>8985.3569443546003</v>
      </c>
      <c r="K1239" s="21">
        <f t="shared" si="62"/>
        <v>1536496</v>
      </c>
      <c r="L1239" s="550" t="s">
        <v>166</v>
      </c>
      <c r="M1239" s="550" t="s">
        <v>161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63"/>
    </row>
    <row r="1240" spans="1:26" ht="15.75" hidden="1" customHeight="1">
      <c r="A1240" s="120" t="str">
        <f>IF(B1240&lt;&gt;"",IF(AND(B1240&gt;=_TM1,B1240&lt;=_TM2,OR(TH!L1240="1111",TH!M1240="1111")),TH!D1240,""),"")</f>
        <v/>
      </c>
      <c r="B1240" s="568">
        <f t="shared" si="60"/>
        <v>9</v>
      </c>
      <c r="C1240" s="569">
        <f t="shared" si="63"/>
        <v>42627</v>
      </c>
      <c r="D1240" s="552" t="s">
        <v>1020</v>
      </c>
      <c r="E1240" s="591">
        <v>42627</v>
      </c>
      <c r="F1240" s="592" t="s">
        <v>815</v>
      </c>
      <c r="G1240" s="593" t="s">
        <v>753</v>
      </c>
      <c r="H1240" s="555" t="s">
        <v>1073</v>
      </c>
      <c r="I1240" s="131">
        <v>2400</v>
      </c>
      <c r="J1240" s="131">
        <v>3214.9442277966</v>
      </c>
      <c r="K1240" s="21">
        <f t="shared" si="62"/>
        <v>7715866</v>
      </c>
      <c r="L1240" s="550" t="s">
        <v>166</v>
      </c>
      <c r="M1240" s="550" t="s">
        <v>161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63"/>
    </row>
    <row r="1241" spans="1:26" ht="15.75" hidden="1" customHeight="1">
      <c r="A1241" s="120" t="str">
        <f>IF(B1241&lt;&gt;"",IF(AND(B1241&gt;=_TM1,B1241&lt;=_TM2,OR(TH!L1241="1111",TH!M1241="1111")),TH!D1241,""),"")</f>
        <v/>
      </c>
      <c r="B1241" s="568">
        <f t="shared" si="60"/>
        <v>9</v>
      </c>
      <c r="C1241" s="569">
        <f t="shared" si="63"/>
        <v>42627</v>
      </c>
      <c r="D1241" s="552" t="s">
        <v>1020</v>
      </c>
      <c r="E1241" s="591">
        <v>42627</v>
      </c>
      <c r="F1241" s="592" t="s">
        <v>816</v>
      </c>
      <c r="G1241" s="593" t="s">
        <v>753</v>
      </c>
      <c r="H1241" s="555" t="s">
        <v>1073</v>
      </c>
      <c r="I1241" s="131">
        <v>500</v>
      </c>
      <c r="J1241" s="131">
        <v>6594.7573903519997</v>
      </c>
      <c r="K1241" s="21">
        <f t="shared" si="62"/>
        <v>3297379</v>
      </c>
      <c r="L1241" s="550" t="s">
        <v>166</v>
      </c>
      <c r="M1241" s="550" t="s">
        <v>161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63"/>
    </row>
    <row r="1242" spans="1:26" ht="15.75" hidden="1" customHeight="1">
      <c r="A1242" s="120" t="str">
        <f>IF(B1242&lt;&gt;"",IF(AND(B1242&gt;=_TM1,B1242&lt;=_TM2,OR(TH!L1242="1111",TH!M1242="1111")),TH!D1242,""),"")</f>
        <v/>
      </c>
      <c r="B1242" s="568">
        <f t="shared" si="60"/>
        <v>9</v>
      </c>
      <c r="C1242" s="569">
        <f t="shared" si="63"/>
        <v>42628</v>
      </c>
      <c r="D1242" s="552" t="s">
        <v>1020</v>
      </c>
      <c r="E1242" s="591">
        <v>42628</v>
      </c>
      <c r="F1242" s="592" t="s">
        <v>518</v>
      </c>
      <c r="G1242" s="593" t="s">
        <v>754</v>
      </c>
      <c r="H1242" s="555" t="s">
        <v>1073</v>
      </c>
      <c r="I1242" s="131">
        <v>1820</v>
      </c>
      <c r="J1242" s="131">
        <v>6759.6263251107994</v>
      </c>
      <c r="K1242" s="21">
        <f t="shared" si="62"/>
        <v>12302520</v>
      </c>
      <c r="L1242" s="550" t="s">
        <v>166</v>
      </c>
      <c r="M1242" s="550" t="s">
        <v>161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63"/>
    </row>
    <row r="1243" spans="1:26" ht="15.75" hidden="1" customHeight="1">
      <c r="A1243" s="120" t="str">
        <f>IF(B1243&lt;&gt;"",IF(AND(B1243&gt;=_TM1,B1243&lt;=_TM2,OR(TH!L1243="1111",TH!M1243="1111")),TH!D1243,""),"")</f>
        <v/>
      </c>
      <c r="B1243" s="568">
        <f t="shared" si="60"/>
        <v>9</v>
      </c>
      <c r="C1243" s="569">
        <f t="shared" si="63"/>
        <v>42628</v>
      </c>
      <c r="D1243" s="552" t="s">
        <v>1020</v>
      </c>
      <c r="E1243" s="591">
        <v>42628</v>
      </c>
      <c r="F1243" s="592" t="s">
        <v>544</v>
      </c>
      <c r="G1243" s="593" t="s">
        <v>754</v>
      </c>
      <c r="H1243" s="555" t="s">
        <v>1073</v>
      </c>
      <c r="I1243" s="131">
        <v>620</v>
      </c>
      <c r="J1243" s="131">
        <v>7501.5365315253994</v>
      </c>
      <c r="K1243" s="21">
        <f t="shared" si="62"/>
        <v>4650953</v>
      </c>
      <c r="L1243" s="550" t="s">
        <v>166</v>
      </c>
      <c r="M1243" s="550" t="s">
        <v>161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63"/>
    </row>
    <row r="1244" spans="1:26" ht="15.75" hidden="1" customHeight="1">
      <c r="A1244" s="120" t="str">
        <f>IF(B1244&lt;&gt;"",IF(AND(B1244&gt;=_TM1,B1244&lt;=_TM2,OR(TH!L1244="1111",TH!M1244="1111")),TH!D1244,""),"")</f>
        <v/>
      </c>
      <c r="B1244" s="568">
        <f t="shared" si="60"/>
        <v>9</v>
      </c>
      <c r="C1244" s="569">
        <f t="shared" si="63"/>
        <v>42628</v>
      </c>
      <c r="D1244" s="552" t="s">
        <v>1020</v>
      </c>
      <c r="E1244" s="591">
        <v>42628</v>
      </c>
      <c r="F1244" s="592" t="s">
        <v>545</v>
      </c>
      <c r="G1244" s="593" t="s">
        <v>754</v>
      </c>
      <c r="H1244" s="555" t="s">
        <v>1073</v>
      </c>
      <c r="I1244" s="131">
        <v>304</v>
      </c>
      <c r="J1244" s="131">
        <v>6677.1918577314</v>
      </c>
      <c r="K1244" s="21">
        <f t="shared" si="62"/>
        <v>2029866</v>
      </c>
      <c r="L1244" s="550" t="s">
        <v>166</v>
      </c>
      <c r="M1244" s="550" t="s">
        <v>161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63"/>
    </row>
    <row r="1245" spans="1:26" ht="15.75" hidden="1" customHeight="1">
      <c r="A1245" s="120" t="str">
        <f>IF(B1245&lt;&gt;"",IF(AND(B1245&gt;=_TM1,B1245&lt;=_TM2,OR(TH!L1245="1111",TH!M1245="1111")),TH!D1245,""),"")</f>
        <v/>
      </c>
      <c r="B1245" s="568">
        <f t="shared" si="60"/>
        <v>9</v>
      </c>
      <c r="C1245" s="569">
        <f t="shared" si="63"/>
        <v>42628</v>
      </c>
      <c r="D1245" s="552" t="s">
        <v>1020</v>
      </c>
      <c r="E1245" s="591">
        <v>42628</v>
      </c>
      <c r="F1245" s="592" t="s">
        <v>546</v>
      </c>
      <c r="G1245" s="593" t="s">
        <v>754</v>
      </c>
      <c r="H1245" s="555" t="s">
        <v>1073</v>
      </c>
      <c r="I1245" s="131">
        <v>316</v>
      </c>
      <c r="J1245" s="131">
        <v>7419.102064146</v>
      </c>
      <c r="K1245" s="21">
        <f t="shared" si="62"/>
        <v>2344436</v>
      </c>
      <c r="L1245" s="550" t="s">
        <v>166</v>
      </c>
      <c r="M1245" s="550" t="s">
        <v>161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63"/>
    </row>
    <row r="1246" spans="1:26" ht="15.75" hidden="1" customHeight="1">
      <c r="A1246" s="120" t="str">
        <f>IF(B1246&lt;&gt;"",IF(AND(B1246&gt;=_TM1,B1246&lt;=_TM2,OR(TH!L1246="1111",TH!M1246="1111")),TH!D1246,""),"")</f>
        <v/>
      </c>
      <c r="B1246" s="568">
        <f t="shared" si="60"/>
        <v>9</v>
      </c>
      <c r="C1246" s="569">
        <f t="shared" si="63"/>
        <v>42635</v>
      </c>
      <c r="D1246" s="552" t="s">
        <v>1020</v>
      </c>
      <c r="E1246" s="591">
        <v>42635</v>
      </c>
      <c r="F1246" s="592" t="s">
        <v>513</v>
      </c>
      <c r="G1246" s="593" t="s">
        <v>755</v>
      </c>
      <c r="H1246" s="555" t="s">
        <v>1073</v>
      </c>
      <c r="I1246" s="131">
        <v>300</v>
      </c>
      <c r="J1246" s="131">
        <v>7831.2744010429988</v>
      </c>
      <c r="K1246" s="21">
        <f t="shared" si="62"/>
        <v>2349382</v>
      </c>
      <c r="L1246" s="550" t="s">
        <v>166</v>
      </c>
      <c r="M1246" s="550" t="s">
        <v>161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63"/>
    </row>
    <row r="1247" spans="1:26" ht="15.75" hidden="1" customHeight="1">
      <c r="A1247" s="120" t="str">
        <f>IF(B1247&lt;&gt;"",IF(AND(B1247&gt;=_TM1,B1247&lt;=_TM2,OR(TH!L1247="1111",TH!M1247="1111")),TH!D1247,""),"")</f>
        <v/>
      </c>
      <c r="B1247" s="568">
        <f t="shared" si="60"/>
        <v>9</v>
      </c>
      <c r="C1247" s="569">
        <f t="shared" si="63"/>
        <v>42639</v>
      </c>
      <c r="D1247" s="552" t="s">
        <v>1020</v>
      </c>
      <c r="E1247" s="591">
        <v>42639</v>
      </c>
      <c r="F1247" s="592" t="s">
        <v>547</v>
      </c>
      <c r="G1247" s="593" t="s">
        <v>756</v>
      </c>
      <c r="H1247" s="555" t="s">
        <v>1073</v>
      </c>
      <c r="I1247" s="131">
        <v>109</v>
      </c>
      <c r="J1247" s="131">
        <v>4451.4612384876</v>
      </c>
      <c r="K1247" s="21">
        <f t="shared" si="62"/>
        <v>485209</v>
      </c>
      <c r="L1247" s="550" t="s">
        <v>166</v>
      </c>
      <c r="M1247" s="550" t="s">
        <v>161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63"/>
    </row>
    <row r="1248" spans="1:26" ht="15.75" hidden="1" customHeight="1">
      <c r="A1248" s="120" t="str">
        <f>IF(B1248&lt;&gt;"",IF(AND(B1248&gt;=_TM1,B1248&lt;=_TM2,OR(TH!L1248="1111",TH!M1248="1111")),TH!D1248,""),"")</f>
        <v/>
      </c>
      <c r="B1248" s="568">
        <f t="shared" si="60"/>
        <v>9</v>
      </c>
      <c r="C1248" s="569">
        <f t="shared" si="63"/>
        <v>42639</v>
      </c>
      <c r="D1248" s="552" t="s">
        <v>1020</v>
      </c>
      <c r="E1248" s="591">
        <v>42639</v>
      </c>
      <c r="F1248" s="592" t="s">
        <v>548</v>
      </c>
      <c r="G1248" s="593" t="s">
        <v>756</v>
      </c>
      <c r="H1248" s="555" t="s">
        <v>1073</v>
      </c>
      <c r="I1248" s="131">
        <v>102</v>
      </c>
      <c r="J1248" s="131">
        <v>5110.9369775227997</v>
      </c>
      <c r="K1248" s="21">
        <f t="shared" si="62"/>
        <v>521316</v>
      </c>
      <c r="L1248" s="550" t="s">
        <v>166</v>
      </c>
      <c r="M1248" s="550" t="s">
        <v>161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63"/>
    </row>
    <row r="1249" spans="1:26" ht="15.75" hidden="1" customHeight="1">
      <c r="A1249" s="120" t="str">
        <f>IF(B1249&lt;&gt;"",IF(AND(B1249&gt;=_TM1,B1249&lt;=_TM2,OR(TH!L1249="1111",TH!M1249="1111")),TH!D1249,""),"")</f>
        <v/>
      </c>
      <c r="B1249" s="568">
        <f t="shared" si="60"/>
        <v>9</v>
      </c>
      <c r="C1249" s="569">
        <f t="shared" si="63"/>
        <v>42639</v>
      </c>
      <c r="D1249" s="552" t="s">
        <v>1020</v>
      </c>
      <c r="E1249" s="591">
        <v>42639</v>
      </c>
      <c r="F1249" s="592" t="s">
        <v>661</v>
      </c>
      <c r="G1249" s="593" t="s">
        <v>756</v>
      </c>
      <c r="H1249" s="555" t="s">
        <v>1073</v>
      </c>
      <c r="I1249" s="131">
        <v>56</v>
      </c>
      <c r="J1249" s="131">
        <v>8985.3569443546003</v>
      </c>
      <c r="K1249" s="21">
        <f t="shared" si="62"/>
        <v>503180</v>
      </c>
      <c r="L1249" s="550" t="s">
        <v>166</v>
      </c>
      <c r="M1249" s="550" t="s">
        <v>161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63"/>
    </row>
    <row r="1250" spans="1:26" ht="15.75" hidden="1" customHeight="1">
      <c r="A1250" s="120" t="str">
        <f>IF(B1250&lt;&gt;"",IF(AND(B1250&gt;=_TM1,B1250&lt;=_TM2,OR(TH!L1250="1111",TH!M1250="1111")),TH!D1250,""),"")</f>
        <v/>
      </c>
      <c r="B1250" s="568">
        <f t="shared" si="60"/>
        <v>9</v>
      </c>
      <c r="C1250" s="569">
        <f t="shared" si="63"/>
        <v>42640</v>
      </c>
      <c r="D1250" s="552" t="s">
        <v>1020</v>
      </c>
      <c r="E1250" s="591">
        <v>42640</v>
      </c>
      <c r="F1250" s="592" t="s">
        <v>498</v>
      </c>
      <c r="G1250" s="593" t="s">
        <v>757</v>
      </c>
      <c r="H1250" s="555" t="s">
        <v>1073</v>
      </c>
      <c r="I1250" s="131">
        <v>533</v>
      </c>
      <c r="J1250" s="131">
        <v>10551.611824563199</v>
      </c>
      <c r="K1250" s="21">
        <f t="shared" si="62"/>
        <v>5624009</v>
      </c>
      <c r="L1250" s="550" t="s">
        <v>166</v>
      </c>
      <c r="M1250" s="550" t="s">
        <v>161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63"/>
    </row>
    <row r="1251" spans="1:26" ht="15.75" hidden="1" customHeight="1">
      <c r="A1251" s="120" t="str">
        <f>IF(B1251&lt;&gt;"",IF(AND(B1251&gt;=_TM1,B1251&lt;=_TM2,OR(TH!L1251="1111",TH!M1251="1111")),TH!D1251,""),"")</f>
        <v/>
      </c>
      <c r="B1251" s="568">
        <f t="shared" si="60"/>
        <v>9</v>
      </c>
      <c r="C1251" s="569">
        <f t="shared" si="63"/>
        <v>42640</v>
      </c>
      <c r="D1251" s="552" t="s">
        <v>1020</v>
      </c>
      <c r="E1251" s="591">
        <v>42640</v>
      </c>
      <c r="F1251" s="592" t="s">
        <v>498</v>
      </c>
      <c r="G1251" s="593" t="s">
        <v>758</v>
      </c>
      <c r="H1251" s="555" t="s">
        <v>1073</v>
      </c>
      <c r="I1251" s="131">
        <v>156</v>
      </c>
      <c r="J1251" s="131">
        <v>10551.611824563199</v>
      </c>
      <c r="K1251" s="21">
        <f t="shared" si="62"/>
        <v>1646051</v>
      </c>
      <c r="L1251" s="550" t="s">
        <v>166</v>
      </c>
      <c r="M1251" s="550" t="s">
        <v>161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63"/>
    </row>
    <row r="1252" spans="1:26" ht="15.75" hidden="1" customHeight="1">
      <c r="A1252" s="120" t="str">
        <f>IF(B1252&lt;&gt;"",IF(AND(B1252&gt;=_TM1,B1252&lt;=_TM2,OR(TH!L1252="1111",TH!M1252="1111")),TH!D1252,""),"")</f>
        <v/>
      </c>
      <c r="B1252" s="568">
        <f t="shared" si="60"/>
        <v>9</v>
      </c>
      <c r="C1252" s="569">
        <f t="shared" si="63"/>
        <v>42640</v>
      </c>
      <c r="D1252" s="552" t="s">
        <v>1020</v>
      </c>
      <c r="E1252" s="591">
        <v>42640</v>
      </c>
      <c r="F1252" s="592" t="s">
        <v>652</v>
      </c>
      <c r="G1252" s="593" t="s">
        <v>758</v>
      </c>
      <c r="H1252" s="555" t="s">
        <v>1073</v>
      </c>
      <c r="I1252" s="131">
        <v>2520</v>
      </c>
      <c r="J1252" s="131">
        <v>8820.4880095957997</v>
      </c>
      <c r="K1252" s="21">
        <f t="shared" si="62"/>
        <v>22227630</v>
      </c>
      <c r="L1252" s="550" t="s">
        <v>166</v>
      </c>
      <c r="M1252" s="550" t="s">
        <v>161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63"/>
    </row>
    <row r="1253" spans="1:26" ht="15.75" hidden="1" customHeight="1">
      <c r="A1253" s="120" t="str">
        <f>IF(B1253&lt;&gt;"",IF(AND(B1253&gt;=_TM1,B1253&lt;=_TM2,OR(TH!L1253="1111",TH!M1253="1111")),TH!D1253,""),"")</f>
        <v/>
      </c>
      <c r="B1253" s="568">
        <f t="shared" si="60"/>
        <v>9</v>
      </c>
      <c r="C1253" s="569">
        <f t="shared" si="63"/>
        <v>42640</v>
      </c>
      <c r="D1253" s="552" t="s">
        <v>1020</v>
      </c>
      <c r="E1253" s="591">
        <v>42640</v>
      </c>
      <c r="F1253" s="592" t="s">
        <v>653</v>
      </c>
      <c r="G1253" s="593" t="s">
        <v>758</v>
      </c>
      <c r="H1253" s="555" t="s">
        <v>1073</v>
      </c>
      <c r="I1253" s="131">
        <v>44</v>
      </c>
      <c r="J1253" s="131">
        <v>12777.342443807</v>
      </c>
      <c r="K1253" s="21">
        <f t="shared" si="62"/>
        <v>562203</v>
      </c>
      <c r="L1253" s="550" t="s">
        <v>166</v>
      </c>
      <c r="M1253" s="550" t="s">
        <v>161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63"/>
    </row>
    <row r="1254" spans="1:26" ht="15.75" hidden="1" customHeight="1">
      <c r="A1254" s="120" t="str">
        <f>IF(B1254&lt;&gt;"",IF(AND(B1254&gt;=_TM1,B1254&lt;=_TM2,OR(TH!L1254="1111",TH!M1254="1111")),TH!D1254,""),"")</f>
        <v/>
      </c>
      <c r="B1254" s="568">
        <f t="shared" si="60"/>
        <v>9</v>
      </c>
      <c r="C1254" s="569">
        <f t="shared" si="63"/>
        <v>42641</v>
      </c>
      <c r="D1254" s="552" t="s">
        <v>1020</v>
      </c>
      <c r="E1254" s="591">
        <v>42641</v>
      </c>
      <c r="F1254" s="592" t="s">
        <v>509</v>
      </c>
      <c r="G1254" s="593" t="s">
        <v>429</v>
      </c>
      <c r="H1254" s="555" t="s">
        <v>1073</v>
      </c>
      <c r="I1254" s="131">
        <v>211</v>
      </c>
      <c r="J1254" s="131">
        <v>11046.218628839601</v>
      </c>
      <c r="K1254" s="21">
        <f t="shared" si="62"/>
        <v>2330752</v>
      </c>
      <c r="L1254" s="550" t="s">
        <v>166</v>
      </c>
      <c r="M1254" s="550" t="s">
        <v>161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63"/>
    </row>
    <row r="1255" spans="1:26" ht="15.75" hidden="1" customHeight="1">
      <c r="A1255" s="120" t="str">
        <f>IF(B1255&lt;&gt;"",IF(AND(B1255&gt;=_TM1,B1255&lt;=_TM2,OR(TH!L1255="1111",TH!M1255="1111")),TH!D1255,""),"")</f>
        <v/>
      </c>
      <c r="B1255" s="542">
        <f t="shared" si="60"/>
        <v>10</v>
      </c>
      <c r="C1255" s="543">
        <f t="shared" si="63"/>
        <v>42647</v>
      </c>
      <c r="D1255" s="544" t="s">
        <v>1020</v>
      </c>
      <c r="E1255" s="595">
        <v>42647</v>
      </c>
      <c r="F1255" s="599" t="s">
        <v>800</v>
      </c>
      <c r="G1255" s="597" t="s">
        <v>799</v>
      </c>
      <c r="H1255" s="598" t="s">
        <v>1073</v>
      </c>
      <c r="I1255" s="548">
        <v>423</v>
      </c>
      <c r="J1255" s="548">
        <v>5706.4898215078556</v>
      </c>
      <c r="K1255" s="551">
        <f t="shared" si="62"/>
        <v>2413845</v>
      </c>
      <c r="L1255" s="556" t="s">
        <v>166</v>
      </c>
      <c r="M1255" s="556" t="s">
        <v>161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65"/>
    </row>
    <row r="1256" spans="1:26" ht="15.75" hidden="1" customHeight="1">
      <c r="A1256" s="120" t="str">
        <f>IF(B1256&lt;&gt;"",IF(AND(B1256&gt;=_TM1,B1256&lt;=_TM2,OR(TH!L1256="1111",TH!M1256="1111")),TH!D1256,""),"")</f>
        <v/>
      </c>
      <c r="B1256" s="568">
        <f t="shared" si="60"/>
        <v>10</v>
      </c>
      <c r="C1256" s="569">
        <f t="shared" si="63"/>
        <v>42647</v>
      </c>
      <c r="D1256" s="552" t="s">
        <v>1020</v>
      </c>
      <c r="E1256" s="589">
        <v>42647</v>
      </c>
      <c r="F1256" s="592" t="s">
        <v>802</v>
      </c>
      <c r="G1256" s="590" t="s">
        <v>801</v>
      </c>
      <c r="H1256" s="555" t="s">
        <v>1073</v>
      </c>
      <c r="I1256" s="131">
        <v>943</v>
      </c>
      <c r="J1256" s="131">
        <v>5402.1436976941031</v>
      </c>
      <c r="K1256" s="21">
        <f t="shared" si="62"/>
        <v>5094222</v>
      </c>
      <c r="L1256" s="550" t="s">
        <v>166</v>
      </c>
      <c r="M1256" s="550" t="s">
        <v>161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63"/>
    </row>
    <row r="1257" spans="1:26" ht="15.75" hidden="1" customHeight="1">
      <c r="A1257" s="120" t="str">
        <f>IF(B1257&lt;&gt;"",IF(AND(B1257&gt;=_TM1,B1257&lt;=_TM2,OR(TH!L1257="1111",TH!M1257="1111")),TH!D1257,""),"")</f>
        <v/>
      </c>
      <c r="B1257" s="568">
        <f t="shared" si="60"/>
        <v>10</v>
      </c>
      <c r="C1257" s="569">
        <f t="shared" si="63"/>
        <v>42647</v>
      </c>
      <c r="D1257" s="552" t="s">
        <v>1020</v>
      </c>
      <c r="E1257" s="589">
        <v>42647</v>
      </c>
      <c r="F1257" s="592" t="s">
        <v>803</v>
      </c>
      <c r="G1257" s="590" t="s">
        <v>801</v>
      </c>
      <c r="H1257" s="555" t="s">
        <v>1073</v>
      </c>
      <c r="I1257" s="131">
        <v>270</v>
      </c>
      <c r="J1257" s="131">
        <v>6543.4416619956746</v>
      </c>
      <c r="K1257" s="21">
        <f t="shared" si="62"/>
        <v>1766729</v>
      </c>
      <c r="L1257" s="550" t="s">
        <v>166</v>
      </c>
      <c r="M1257" s="550" t="s">
        <v>161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63"/>
    </row>
    <row r="1258" spans="1:26" ht="15.75" hidden="1" customHeight="1">
      <c r="A1258" s="120" t="str">
        <f>IF(B1258&lt;&gt;"",IF(AND(B1258&gt;=_TM1,B1258&lt;=_TM2,OR(TH!L1258="1111",TH!M1258="1111")),TH!D1258,""),"")</f>
        <v/>
      </c>
      <c r="B1258" s="568">
        <f t="shared" si="60"/>
        <v>10</v>
      </c>
      <c r="C1258" s="569">
        <f t="shared" si="63"/>
        <v>42648</v>
      </c>
      <c r="D1258" s="552" t="s">
        <v>1020</v>
      </c>
      <c r="E1258" s="589">
        <v>42648</v>
      </c>
      <c r="F1258" s="592" t="s">
        <v>805</v>
      </c>
      <c r="G1258" s="590" t="s">
        <v>804</v>
      </c>
      <c r="H1258" s="555" t="s">
        <v>1073</v>
      </c>
      <c r="I1258" s="131">
        <v>305</v>
      </c>
      <c r="J1258" s="131">
        <v>7076.0473786697412</v>
      </c>
      <c r="K1258" s="21">
        <f t="shared" si="62"/>
        <v>2158194</v>
      </c>
      <c r="L1258" s="550" t="s">
        <v>166</v>
      </c>
      <c r="M1258" s="550" t="s">
        <v>161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63"/>
    </row>
    <row r="1259" spans="1:26" ht="15.75" hidden="1" customHeight="1">
      <c r="A1259" s="120" t="str">
        <f>IF(B1259&lt;&gt;"",IF(AND(B1259&gt;=_TM1,B1259&lt;=_TM2,OR(TH!L1259="1111",TH!M1259="1111")),TH!D1259,""),"")</f>
        <v/>
      </c>
      <c r="B1259" s="568">
        <f t="shared" si="60"/>
        <v>10</v>
      </c>
      <c r="C1259" s="569">
        <f t="shared" si="63"/>
        <v>42648</v>
      </c>
      <c r="D1259" s="552" t="s">
        <v>1020</v>
      </c>
      <c r="E1259" s="589">
        <v>42648</v>
      </c>
      <c r="F1259" s="592" t="s">
        <v>806</v>
      </c>
      <c r="G1259" s="590" t="s">
        <v>804</v>
      </c>
      <c r="H1259" s="555" t="s">
        <v>1073</v>
      </c>
      <c r="I1259" s="131">
        <v>55</v>
      </c>
      <c r="J1259" s="131">
        <v>6847.7877858094271</v>
      </c>
      <c r="K1259" s="21">
        <f t="shared" si="62"/>
        <v>376628</v>
      </c>
      <c r="L1259" s="550" t="s">
        <v>166</v>
      </c>
      <c r="M1259" s="550" t="s">
        <v>161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63"/>
    </row>
    <row r="1260" spans="1:26" ht="15.75" hidden="1" customHeight="1">
      <c r="A1260" s="120" t="str">
        <f>IF(B1260&lt;&gt;"",IF(AND(B1260&gt;=_TM1,B1260&lt;=_TM2,OR(TH!L1260="1111",TH!M1260="1111")),TH!D1260,""),"")</f>
        <v/>
      </c>
      <c r="B1260" s="568">
        <f t="shared" si="60"/>
        <v>10</v>
      </c>
      <c r="C1260" s="569">
        <f t="shared" si="63"/>
        <v>42648</v>
      </c>
      <c r="D1260" s="552" t="s">
        <v>1020</v>
      </c>
      <c r="E1260" s="589">
        <v>42648</v>
      </c>
      <c r="F1260" s="592" t="s">
        <v>807</v>
      </c>
      <c r="G1260" s="590" t="s">
        <v>804</v>
      </c>
      <c r="H1260" s="555" t="s">
        <v>1073</v>
      </c>
      <c r="I1260" s="594">
        <v>205</v>
      </c>
      <c r="J1260" s="131">
        <v>2358.6824595565804</v>
      </c>
      <c r="K1260" s="21">
        <f t="shared" si="62"/>
        <v>483530</v>
      </c>
      <c r="L1260" s="550" t="s">
        <v>166</v>
      </c>
      <c r="M1260" s="550" t="s">
        <v>161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63"/>
    </row>
    <row r="1261" spans="1:26" ht="15.75" hidden="1" customHeight="1">
      <c r="A1261" s="120" t="str">
        <f>IF(B1261&lt;&gt;"",IF(AND(B1261&gt;=_TM1,B1261&lt;=_TM2,OR(TH!L1261="1111",TH!M1261="1111")),TH!D1261,""),"")</f>
        <v/>
      </c>
      <c r="B1261" s="568">
        <f t="shared" si="60"/>
        <v>10</v>
      </c>
      <c r="C1261" s="569">
        <f t="shared" si="63"/>
        <v>42648</v>
      </c>
      <c r="D1261" s="552" t="s">
        <v>1020</v>
      </c>
      <c r="E1261" s="589">
        <v>42648</v>
      </c>
      <c r="F1261" s="592" t="s">
        <v>518</v>
      </c>
      <c r="G1261" s="590" t="s">
        <v>808</v>
      </c>
      <c r="H1261" s="555" t="s">
        <v>1073</v>
      </c>
      <c r="I1261" s="573">
        <v>320</v>
      </c>
      <c r="J1261" s="573">
        <v>6239.0955381819222</v>
      </c>
      <c r="K1261" s="21">
        <f t="shared" ref="K1261:K1324" si="64">ROUND(I1261*J1261,0)</f>
        <v>1996511</v>
      </c>
      <c r="L1261" s="550" t="s">
        <v>166</v>
      </c>
      <c r="M1261" s="550" t="s">
        <v>161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63"/>
    </row>
    <row r="1262" spans="1:26" ht="15.75" hidden="1" customHeight="1">
      <c r="A1262" s="120" t="str">
        <f>IF(B1262&lt;&gt;"",IF(AND(B1262&gt;=_TM1,B1262&lt;=_TM2,OR(TH!L1262="1111",TH!M1262="1111")),TH!D1262,""),"")</f>
        <v/>
      </c>
      <c r="B1262" s="568">
        <f t="shared" si="60"/>
        <v>10</v>
      </c>
      <c r="C1262" s="569">
        <f t="shared" si="63"/>
        <v>42648</v>
      </c>
      <c r="D1262" s="552" t="s">
        <v>1020</v>
      </c>
      <c r="E1262" s="589">
        <v>42648</v>
      </c>
      <c r="F1262" s="592" t="s">
        <v>520</v>
      </c>
      <c r="G1262" s="590" t="s">
        <v>808</v>
      </c>
      <c r="H1262" s="555" t="s">
        <v>1073</v>
      </c>
      <c r="I1262" s="573">
        <v>659</v>
      </c>
      <c r="J1262" s="573">
        <v>12021.671890643216</v>
      </c>
      <c r="K1262" s="21">
        <f t="shared" si="64"/>
        <v>7922282</v>
      </c>
      <c r="L1262" s="550" t="s">
        <v>166</v>
      </c>
      <c r="M1262" s="550" t="s">
        <v>161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63"/>
    </row>
    <row r="1263" spans="1:26" ht="15.75" hidden="1" customHeight="1">
      <c r="A1263" s="120" t="str">
        <f>IF(B1263&lt;&gt;"",IF(AND(B1263&gt;=_TM1,B1263&lt;=_TM2,OR(TH!L1263="1111",TH!M1263="1111")),TH!D1263,""),"")</f>
        <v/>
      </c>
      <c r="B1263" s="568">
        <f t="shared" si="60"/>
        <v>10</v>
      </c>
      <c r="C1263" s="569">
        <f t="shared" si="63"/>
        <v>42649</v>
      </c>
      <c r="D1263" s="552" t="s">
        <v>1020</v>
      </c>
      <c r="E1263" s="589">
        <v>42649</v>
      </c>
      <c r="F1263" s="592" t="s">
        <v>524</v>
      </c>
      <c r="G1263" s="590" t="s">
        <v>434</v>
      </c>
      <c r="H1263" s="555" t="s">
        <v>1073</v>
      </c>
      <c r="I1263" s="131">
        <v>400</v>
      </c>
      <c r="J1263" s="131">
        <v>14304.267819246357</v>
      </c>
      <c r="K1263" s="21">
        <f t="shared" si="64"/>
        <v>5721707</v>
      </c>
      <c r="L1263" s="550" t="s">
        <v>166</v>
      </c>
      <c r="M1263" s="550" t="s">
        <v>161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63"/>
    </row>
    <row r="1264" spans="1:26" ht="15.75" hidden="1" customHeight="1">
      <c r="A1264" s="120" t="str">
        <f>IF(B1264&lt;&gt;"",IF(AND(B1264&gt;=_TM1,B1264&lt;=_TM2,OR(TH!L1264="1111",TH!M1264="1111")),TH!D1264,""),"")</f>
        <v/>
      </c>
      <c r="B1264" s="568">
        <f t="shared" si="60"/>
        <v>10</v>
      </c>
      <c r="C1264" s="569">
        <f t="shared" si="63"/>
        <v>42660</v>
      </c>
      <c r="D1264" s="552" t="s">
        <v>1020</v>
      </c>
      <c r="E1264" s="589">
        <v>42660</v>
      </c>
      <c r="F1264" s="592" t="s">
        <v>672</v>
      </c>
      <c r="G1264" s="590" t="s">
        <v>759</v>
      </c>
      <c r="H1264" s="555" t="s">
        <v>1073</v>
      </c>
      <c r="I1264" s="131">
        <v>1800</v>
      </c>
      <c r="J1264" s="131">
        <v>9206.4702453660066</v>
      </c>
      <c r="K1264" s="21">
        <f t="shared" si="64"/>
        <v>16571646</v>
      </c>
      <c r="L1264" s="550" t="s">
        <v>166</v>
      </c>
      <c r="M1264" s="550" t="s">
        <v>161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63"/>
    </row>
    <row r="1265" spans="1:26" ht="15.75" hidden="1" customHeight="1">
      <c r="A1265" s="120" t="str">
        <f>IF(B1265&lt;&gt;"",IF(AND(B1265&gt;=_TM1,B1265&lt;=_TM2,OR(TH!L1265="1111",TH!M1265="1111")),TH!D1265,""),"")</f>
        <v/>
      </c>
      <c r="B1265" s="568">
        <f t="shared" si="60"/>
        <v>10</v>
      </c>
      <c r="C1265" s="569">
        <f t="shared" ref="C1265:C1328" si="65">E1265</f>
        <v>42660</v>
      </c>
      <c r="D1265" s="552" t="s">
        <v>1020</v>
      </c>
      <c r="E1265" s="589">
        <v>42660</v>
      </c>
      <c r="F1265" s="592" t="s">
        <v>671</v>
      </c>
      <c r="G1265" s="590" t="s">
        <v>759</v>
      </c>
      <c r="H1265" s="555" t="s">
        <v>1073</v>
      </c>
      <c r="I1265" s="131">
        <v>26</v>
      </c>
      <c r="J1265" s="131">
        <v>8217.3453429713136</v>
      </c>
      <c r="K1265" s="21">
        <f t="shared" si="64"/>
        <v>213651</v>
      </c>
      <c r="L1265" s="550" t="s">
        <v>166</v>
      </c>
      <c r="M1265" s="550" t="s">
        <v>161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63"/>
    </row>
    <row r="1266" spans="1:26" ht="15.75" hidden="1" customHeight="1">
      <c r="A1266" s="120" t="str">
        <f>IF(B1266&lt;&gt;"",IF(AND(B1266&gt;=_TM1,B1266&lt;=_TM2,OR(TH!L1266="1111",TH!M1266="1111")),TH!D1266,""),"")</f>
        <v/>
      </c>
      <c r="B1266" s="568">
        <f t="shared" si="60"/>
        <v>10</v>
      </c>
      <c r="C1266" s="569">
        <f t="shared" si="65"/>
        <v>42662</v>
      </c>
      <c r="D1266" s="552" t="s">
        <v>1020</v>
      </c>
      <c r="E1266" s="589">
        <v>42662</v>
      </c>
      <c r="F1266" s="592" t="s">
        <v>665</v>
      </c>
      <c r="G1266" s="590" t="s">
        <v>760</v>
      </c>
      <c r="H1266" s="555" t="s">
        <v>1073</v>
      </c>
      <c r="I1266" s="572">
        <v>520</v>
      </c>
      <c r="J1266" s="572">
        <v>5858.6628834147323</v>
      </c>
      <c r="K1266" s="21">
        <f t="shared" si="64"/>
        <v>3046505</v>
      </c>
      <c r="L1266" s="550" t="s">
        <v>166</v>
      </c>
      <c r="M1266" s="550" t="s">
        <v>161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63"/>
    </row>
    <row r="1267" spans="1:26" ht="15.75" hidden="1" customHeight="1">
      <c r="A1267" s="120" t="str">
        <f>IF(B1267&lt;&gt;"",IF(AND(B1267&gt;=_TM1,B1267&lt;=_TM2,OR(TH!L1267="1111",TH!M1267="1111")),TH!D1267,""),"")</f>
        <v/>
      </c>
      <c r="B1267" s="568">
        <f t="shared" si="60"/>
        <v>10</v>
      </c>
      <c r="C1267" s="569">
        <f t="shared" si="65"/>
        <v>42662</v>
      </c>
      <c r="D1267" s="552" t="s">
        <v>1020</v>
      </c>
      <c r="E1267" s="589">
        <v>42662</v>
      </c>
      <c r="F1267" s="592" t="s">
        <v>524</v>
      </c>
      <c r="G1267" s="590" t="s">
        <v>760</v>
      </c>
      <c r="H1267" s="555" t="s">
        <v>1073</v>
      </c>
      <c r="I1267" s="131">
        <v>100</v>
      </c>
      <c r="J1267" s="131">
        <v>14304.267819246357</v>
      </c>
      <c r="K1267" s="21">
        <f t="shared" si="64"/>
        <v>1430427</v>
      </c>
      <c r="L1267" s="550" t="s">
        <v>166</v>
      </c>
      <c r="M1267" s="550" t="s">
        <v>161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63"/>
    </row>
    <row r="1268" spans="1:26" ht="15.75" hidden="1" customHeight="1">
      <c r="A1268" s="120" t="str">
        <f>IF(B1268&lt;&gt;"",IF(AND(B1268&gt;=_TM1,B1268&lt;=_TM2,OR(TH!L1268="1111",TH!M1268="1111")),TH!D1268,""),"")</f>
        <v/>
      </c>
      <c r="B1268" s="568">
        <f t="shared" si="60"/>
        <v>10</v>
      </c>
      <c r="C1268" s="569">
        <f t="shared" si="65"/>
        <v>42672</v>
      </c>
      <c r="D1268" s="552" t="s">
        <v>1020</v>
      </c>
      <c r="E1268" s="589">
        <v>42672</v>
      </c>
      <c r="F1268" s="592" t="s">
        <v>666</v>
      </c>
      <c r="G1268" s="590" t="s">
        <v>761</v>
      </c>
      <c r="H1268" s="555" t="s">
        <v>1073</v>
      </c>
      <c r="I1268" s="131">
        <v>36</v>
      </c>
      <c r="J1268" s="131">
        <v>10347.76820966758</v>
      </c>
      <c r="K1268" s="21">
        <f t="shared" si="64"/>
        <v>372520</v>
      </c>
      <c r="L1268" s="550" t="s">
        <v>166</v>
      </c>
      <c r="M1268" s="550" t="s">
        <v>161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63"/>
    </row>
    <row r="1269" spans="1:26" ht="15.75" hidden="1" customHeight="1">
      <c r="A1269" s="120" t="str">
        <f>IF(B1269&lt;&gt;"",IF(AND(B1269&gt;=_TM1,B1269&lt;=_TM2,OR(TH!L1269="1111",TH!M1269="1111")),TH!D1269,""),"")</f>
        <v/>
      </c>
      <c r="B1269" s="568">
        <f t="shared" si="60"/>
        <v>10</v>
      </c>
      <c r="C1269" s="569">
        <f t="shared" si="65"/>
        <v>42672</v>
      </c>
      <c r="D1269" s="552" t="s">
        <v>1020</v>
      </c>
      <c r="E1269" s="589">
        <v>42672</v>
      </c>
      <c r="F1269" s="592" t="s">
        <v>653</v>
      </c>
      <c r="G1269" s="590" t="s">
        <v>761</v>
      </c>
      <c r="H1269" s="555" t="s">
        <v>1073</v>
      </c>
      <c r="I1269" s="131">
        <v>110</v>
      </c>
      <c r="J1269" s="131">
        <v>11793.412297782903</v>
      </c>
      <c r="K1269" s="21">
        <f t="shared" si="64"/>
        <v>1297275</v>
      </c>
      <c r="L1269" s="550" t="s">
        <v>166</v>
      </c>
      <c r="M1269" s="550" t="s">
        <v>161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63"/>
    </row>
    <row r="1270" spans="1:26" ht="15.75" hidden="1" customHeight="1">
      <c r="A1270" s="120" t="str">
        <f>IF(B1270&lt;&gt;"",IF(AND(B1270&gt;=_TM1,B1270&lt;=_TM2,OR(TH!L1270="1111",TH!M1270="1111")),TH!D1270,""),"")</f>
        <v/>
      </c>
      <c r="B1270" s="568">
        <f t="shared" si="60"/>
        <v>10</v>
      </c>
      <c r="C1270" s="569">
        <f t="shared" si="65"/>
        <v>42672</v>
      </c>
      <c r="D1270" s="552" t="s">
        <v>1020</v>
      </c>
      <c r="E1270" s="589">
        <v>42672</v>
      </c>
      <c r="F1270" s="592" t="s">
        <v>667</v>
      </c>
      <c r="G1270" s="590" t="s">
        <v>761</v>
      </c>
      <c r="H1270" s="555" t="s">
        <v>1073</v>
      </c>
      <c r="I1270" s="131">
        <v>111</v>
      </c>
      <c r="J1270" s="131">
        <v>7912.9992191575602</v>
      </c>
      <c r="K1270" s="21">
        <f t="shared" si="64"/>
        <v>878343</v>
      </c>
      <c r="L1270" s="550" t="s">
        <v>166</v>
      </c>
      <c r="M1270" s="550" t="s">
        <v>161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63"/>
    </row>
    <row r="1271" spans="1:26" ht="15.75" hidden="1" customHeight="1">
      <c r="A1271" s="120" t="str">
        <f>IF(B1271&lt;&gt;"",IF(AND(B1271&gt;=_TM1,B1271&lt;=_TM2,OR(TH!L1271="1111",TH!M1271="1111")),TH!D1271,""),"")</f>
        <v/>
      </c>
      <c r="B1271" s="568">
        <f t="shared" si="60"/>
        <v>10</v>
      </c>
      <c r="C1271" s="569">
        <f t="shared" si="65"/>
        <v>42672</v>
      </c>
      <c r="D1271" s="552" t="s">
        <v>1020</v>
      </c>
      <c r="E1271" s="589">
        <v>42672</v>
      </c>
      <c r="F1271" s="592" t="s">
        <v>668</v>
      </c>
      <c r="G1271" s="590" t="s">
        <v>761</v>
      </c>
      <c r="H1271" s="555" t="s">
        <v>1073</v>
      </c>
      <c r="I1271" s="131">
        <v>18</v>
      </c>
      <c r="J1271" s="131">
        <v>12097.758421596654</v>
      </c>
      <c r="K1271" s="21">
        <f t="shared" si="64"/>
        <v>217760</v>
      </c>
      <c r="L1271" s="550" t="s">
        <v>166</v>
      </c>
      <c r="M1271" s="550" t="s">
        <v>161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63"/>
    </row>
    <row r="1272" spans="1:26" ht="15.75" hidden="1" customHeight="1">
      <c r="A1272" s="120" t="str">
        <f>IF(B1272&lt;&gt;"",IF(AND(B1272&gt;=_TM1,B1272&lt;=_TM2,OR(TH!L1272="1111",TH!M1272="1111")),TH!D1272,""),"")</f>
        <v/>
      </c>
      <c r="B1272" s="568">
        <f t="shared" si="60"/>
        <v>10</v>
      </c>
      <c r="C1272" s="569">
        <f t="shared" si="65"/>
        <v>42672</v>
      </c>
      <c r="D1272" s="552" t="s">
        <v>1020</v>
      </c>
      <c r="E1272" s="589">
        <v>42672</v>
      </c>
      <c r="F1272" s="592" t="s">
        <v>498</v>
      </c>
      <c r="G1272" s="590" t="s">
        <v>761</v>
      </c>
      <c r="H1272" s="555" t="s">
        <v>1073</v>
      </c>
      <c r="I1272" s="131">
        <v>52</v>
      </c>
      <c r="J1272" s="131">
        <v>9739.075962040075</v>
      </c>
      <c r="K1272" s="21">
        <f t="shared" si="64"/>
        <v>506432</v>
      </c>
      <c r="L1272" s="550" t="s">
        <v>166</v>
      </c>
      <c r="M1272" s="550" t="s">
        <v>161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63"/>
    </row>
    <row r="1273" spans="1:26" ht="15.75" hidden="1" customHeight="1">
      <c r="A1273" s="120" t="str">
        <f>IF(B1273&lt;&gt;"",IF(AND(B1273&gt;=_TM1,B1273&lt;=_TM2,OR(TH!L1273="1111",TH!M1273="1111")),TH!D1273,""),"")</f>
        <v/>
      </c>
      <c r="B1273" s="568">
        <f t="shared" si="60"/>
        <v>10</v>
      </c>
      <c r="C1273" s="569">
        <f t="shared" si="65"/>
        <v>42672</v>
      </c>
      <c r="D1273" s="552" t="s">
        <v>1020</v>
      </c>
      <c r="E1273" s="589">
        <v>42672</v>
      </c>
      <c r="F1273" s="592" t="s">
        <v>498</v>
      </c>
      <c r="G1273" s="590" t="s">
        <v>762</v>
      </c>
      <c r="H1273" s="555" t="s">
        <v>1073</v>
      </c>
      <c r="I1273" s="131">
        <v>206</v>
      </c>
      <c r="J1273" s="131">
        <v>9739.075962040075</v>
      </c>
      <c r="K1273" s="21">
        <f t="shared" si="64"/>
        <v>2006250</v>
      </c>
      <c r="L1273" s="550" t="s">
        <v>166</v>
      </c>
      <c r="M1273" s="550" t="s">
        <v>161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63"/>
    </row>
    <row r="1274" spans="1:26" ht="15.75" hidden="1" customHeight="1">
      <c r="A1274" s="120" t="str">
        <f>IF(B1274&lt;&gt;"",IF(AND(B1274&gt;=_TM1,B1274&lt;=_TM2,OR(TH!L1274="1111",TH!M1274="1111")),TH!D1274,""),"")</f>
        <v/>
      </c>
      <c r="B1274" s="568">
        <f t="shared" si="60"/>
        <v>10</v>
      </c>
      <c r="C1274" s="569">
        <f t="shared" si="65"/>
        <v>42672</v>
      </c>
      <c r="D1274" s="552" t="s">
        <v>1020</v>
      </c>
      <c r="E1274" s="589">
        <v>42672</v>
      </c>
      <c r="F1274" s="592" t="s">
        <v>669</v>
      </c>
      <c r="G1274" s="590" t="s">
        <v>762</v>
      </c>
      <c r="H1274" s="555" t="s">
        <v>1073</v>
      </c>
      <c r="I1274" s="131">
        <v>330</v>
      </c>
      <c r="J1274" s="131">
        <v>6923.8743167628654</v>
      </c>
      <c r="K1274" s="21">
        <f t="shared" si="64"/>
        <v>2284879</v>
      </c>
      <c r="L1274" s="550" t="s">
        <v>166</v>
      </c>
      <c r="M1274" s="550" t="s">
        <v>161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63"/>
    </row>
    <row r="1275" spans="1:26" ht="15.75" hidden="1" customHeight="1">
      <c r="A1275" s="120" t="str">
        <f>IF(B1275&lt;&gt;"",IF(AND(B1275&gt;=_TM1,B1275&lt;=_TM2,OR(TH!L1275="1111",TH!M1275="1111")),TH!D1275,""),"")</f>
        <v/>
      </c>
      <c r="B1275" s="568">
        <f t="shared" si="60"/>
        <v>10</v>
      </c>
      <c r="C1275" s="569">
        <f t="shared" si="65"/>
        <v>42672</v>
      </c>
      <c r="D1275" s="552" t="s">
        <v>1020</v>
      </c>
      <c r="E1275" s="589">
        <v>42672</v>
      </c>
      <c r="F1275" s="592" t="s">
        <v>670</v>
      </c>
      <c r="G1275" s="590" t="s">
        <v>762</v>
      </c>
      <c r="H1275" s="555" t="s">
        <v>1073</v>
      </c>
      <c r="I1275" s="131">
        <v>23</v>
      </c>
      <c r="J1275" s="131">
        <v>8597.7779977385017</v>
      </c>
      <c r="K1275" s="21">
        <f t="shared" si="64"/>
        <v>197749</v>
      </c>
      <c r="L1275" s="550" t="s">
        <v>166</v>
      </c>
      <c r="M1275" s="550" t="s">
        <v>161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63"/>
    </row>
    <row r="1276" spans="1:26" ht="15.75" hidden="1" customHeight="1">
      <c r="A1276" s="120" t="str">
        <f>IF(B1276&lt;&gt;"",IF(AND(B1276&gt;=_TM1,B1276&lt;=_TM2,OR(TH!L1276="1111",TH!M1276="1111")),TH!D1276,""),"")</f>
        <v/>
      </c>
      <c r="B1276" s="568">
        <f t="shared" si="60"/>
        <v>10</v>
      </c>
      <c r="C1276" s="569">
        <f t="shared" si="65"/>
        <v>42672</v>
      </c>
      <c r="D1276" s="552" t="s">
        <v>1020</v>
      </c>
      <c r="E1276" s="589">
        <v>42672</v>
      </c>
      <c r="F1276" s="592" t="s">
        <v>671</v>
      </c>
      <c r="G1276" s="590" t="s">
        <v>762</v>
      </c>
      <c r="H1276" s="555" t="s">
        <v>1073</v>
      </c>
      <c r="I1276" s="131">
        <v>55</v>
      </c>
      <c r="J1276" s="131">
        <v>8217.3453429713136</v>
      </c>
      <c r="K1276" s="21">
        <f t="shared" si="64"/>
        <v>451954</v>
      </c>
      <c r="L1276" s="550" t="s">
        <v>166</v>
      </c>
      <c r="M1276" s="550" t="s">
        <v>161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63"/>
    </row>
    <row r="1277" spans="1:26" ht="15.75" hidden="1" customHeight="1">
      <c r="A1277" s="120" t="str">
        <f>IF(B1277&lt;&gt;"",IF(AND(B1277&gt;=_TM1,B1277&lt;=_TM2,OR(TH!L1277="1111",TH!M1277="1111")),TH!D1277,""),"")</f>
        <v/>
      </c>
      <c r="B1277" s="568">
        <f t="shared" si="60"/>
        <v>10</v>
      </c>
      <c r="C1277" s="569">
        <f t="shared" si="65"/>
        <v>42672</v>
      </c>
      <c r="D1277" s="552" t="s">
        <v>1020</v>
      </c>
      <c r="E1277" s="589">
        <v>42672</v>
      </c>
      <c r="F1277" s="592" t="s">
        <v>672</v>
      </c>
      <c r="G1277" s="590" t="s">
        <v>763</v>
      </c>
      <c r="H1277" s="555" t="s">
        <v>1073</v>
      </c>
      <c r="I1277" s="131">
        <v>210</v>
      </c>
      <c r="J1277" s="131">
        <v>9206.4702453660066</v>
      </c>
      <c r="K1277" s="21">
        <f t="shared" si="64"/>
        <v>1933359</v>
      </c>
      <c r="L1277" s="550" t="s">
        <v>166</v>
      </c>
      <c r="M1277" s="550" t="s">
        <v>161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63"/>
    </row>
    <row r="1278" spans="1:26" ht="15.75" hidden="1" customHeight="1">
      <c r="A1278" s="120" t="str">
        <f>IF(B1278&lt;&gt;"",IF(AND(B1278&gt;=_TM1,B1278&lt;=_TM2,OR(TH!L1278="1111",TH!M1278="1111")),TH!D1278,""),"")</f>
        <v/>
      </c>
      <c r="B1278" s="568">
        <f t="shared" si="60"/>
        <v>10</v>
      </c>
      <c r="C1278" s="569">
        <f t="shared" si="65"/>
        <v>42672</v>
      </c>
      <c r="D1278" s="552" t="s">
        <v>1020</v>
      </c>
      <c r="E1278" s="589">
        <v>42672</v>
      </c>
      <c r="F1278" s="592" t="s">
        <v>673</v>
      </c>
      <c r="G1278" s="590" t="s">
        <v>763</v>
      </c>
      <c r="H1278" s="555" t="s">
        <v>1073</v>
      </c>
      <c r="I1278" s="131">
        <v>160</v>
      </c>
      <c r="J1278" s="131">
        <v>13315.142916851664</v>
      </c>
      <c r="K1278" s="21">
        <f t="shared" si="64"/>
        <v>2130423</v>
      </c>
      <c r="L1278" s="550" t="s">
        <v>166</v>
      </c>
      <c r="M1278" s="550" t="s">
        <v>161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63"/>
    </row>
    <row r="1279" spans="1:26" ht="15.75" hidden="1" customHeight="1">
      <c r="A1279" s="120" t="str">
        <f>IF(B1279&lt;&gt;"",IF(AND(B1279&gt;=_TM1,B1279&lt;=_TM2,OR(TH!L1279="1111",TH!M1279="1111")),TH!D1279,""),"")</f>
        <v/>
      </c>
      <c r="B1279" s="568">
        <f t="shared" si="60"/>
        <v>10</v>
      </c>
      <c r="C1279" s="569">
        <f t="shared" si="65"/>
        <v>42672</v>
      </c>
      <c r="D1279" s="552" t="s">
        <v>1020</v>
      </c>
      <c r="E1279" s="589">
        <v>42672</v>
      </c>
      <c r="F1279" s="592" t="s">
        <v>498</v>
      </c>
      <c r="G1279" s="590" t="s">
        <v>763</v>
      </c>
      <c r="H1279" s="555" t="s">
        <v>1073</v>
      </c>
      <c r="I1279" s="131">
        <v>160</v>
      </c>
      <c r="J1279" s="131">
        <v>9739.075962040075</v>
      </c>
      <c r="K1279" s="21">
        <f t="shared" si="64"/>
        <v>1558252</v>
      </c>
      <c r="L1279" s="550" t="s">
        <v>166</v>
      </c>
      <c r="M1279" s="550" t="s">
        <v>161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63"/>
    </row>
    <row r="1280" spans="1:26" ht="15.75" hidden="1" customHeight="1">
      <c r="A1280" s="120" t="str">
        <f>IF(B1280&lt;&gt;"",IF(AND(B1280&gt;=_TM1,B1280&lt;=_TM2,OR(TH!L1280="1111",TH!M1280="1111")),TH!D1280,""),"")</f>
        <v/>
      </c>
      <c r="B1280" s="568">
        <f t="shared" si="60"/>
        <v>10</v>
      </c>
      <c r="C1280" s="569">
        <f t="shared" si="65"/>
        <v>42672</v>
      </c>
      <c r="D1280" s="552" t="s">
        <v>1020</v>
      </c>
      <c r="E1280" s="589">
        <v>42672</v>
      </c>
      <c r="F1280" s="592" t="s">
        <v>674</v>
      </c>
      <c r="G1280" s="590" t="s">
        <v>763</v>
      </c>
      <c r="H1280" s="555" t="s">
        <v>1073</v>
      </c>
      <c r="I1280" s="131">
        <v>160</v>
      </c>
      <c r="J1280" s="131">
        <v>8217.3453429713136</v>
      </c>
      <c r="K1280" s="21">
        <f t="shared" si="64"/>
        <v>1314775</v>
      </c>
      <c r="L1280" s="550" t="s">
        <v>166</v>
      </c>
      <c r="M1280" s="550" t="s">
        <v>161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63"/>
    </row>
    <row r="1281" spans="1:26" ht="15.75" hidden="1" customHeight="1">
      <c r="A1281" s="120" t="str">
        <f>IF(B1281&lt;&gt;"",IF(AND(B1281&gt;=_TM1,B1281&lt;=_TM2,OR(TH!L1281="1111",TH!M1281="1111")),TH!D1281,""),"")</f>
        <v/>
      </c>
      <c r="B1281" s="568">
        <f t="shared" si="60"/>
        <v>10</v>
      </c>
      <c r="C1281" s="569">
        <f t="shared" si="65"/>
        <v>42672</v>
      </c>
      <c r="D1281" s="552" t="s">
        <v>1020</v>
      </c>
      <c r="E1281" s="589">
        <v>42672</v>
      </c>
      <c r="F1281" s="592" t="s">
        <v>675</v>
      </c>
      <c r="G1281" s="590" t="s">
        <v>763</v>
      </c>
      <c r="H1281" s="555" t="s">
        <v>1073</v>
      </c>
      <c r="I1281" s="131">
        <v>103</v>
      </c>
      <c r="J1281" s="131">
        <v>9510.8163691797599</v>
      </c>
      <c r="K1281" s="21">
        <f t="shared" si="64"/>
        <v>979614</v>
      </c>
      <c r="L1281" s="550" t="s">
        <v>166</v>
      </c>
      <c r="M1281" s="550" t="s">
        <v>161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63"/>
    </row>
    <row r="1282" spans="1:26" ht="15.75" hidden="1" customHeight="1">
      <c r="A1282" s="120" t="str">
        <f>IF(B1282&lt;&gt;"",IF(AND(B1282&gt;=_TM1,B1282&lt;=_TM2,OR(TH!L1282="1111",TH!M1282="1111")),TH!D1282,""),"")</f>
        <v/>
      </c>
      <c r="B1282" s="568">
        <f t="shared" si="60"/>
        <v>10</v>
      </c>
      <c r="C1282" s="569">
        <f t="shared" si="65"/>
        <v>42672</v>
      </c>
      <c r="D1282" s="552" t="s">
        <v>1020</v>
      </c>
      <c r="E1282" s="589">
        <v>42672</v>
      </c>
      <c r="F1282" s="592" t="s">
        <v>676</v>
      </c>
      <c r="G1282" s="590" t="s">
        <v>763</v>
      </c>
      <c r="H1282" s="555" t="s">
        <v>1073</v>
      </c>
      <c r="I1282" s="131">
        <v>7</v>
      </c>
      <c r="J1282" s="131">
        <v>10423.854740621018</v>
      </c>
      <c r="K1282" s="21">
        <f t="shared" si="64"/>
        <v>72967</v>
      </c>
      <c r="L1282" s="550" t="s">
        <v>166</v>
      </c>
      <c r="M1282" s="550" t="s">
        <v>161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63"/>
    </row>
    <row r="1283" spans="1:26" ht="15.75" hidden="1" customHeight="1">
      <c r="A1283" s="120" t="str">
        <f>IF(B1283&lt;&gt;"",IF(AND(B1283&gt;=_TM1,B1283&lt;=_TM2,OR(TH!L1283="1111",TH!M1283="1111")),TH!D1283,""),"")</f>
        <v/>
      </c>
      <c r="B1283" s="568">
        <f t="shared" si="60"/>
        <v>10</v>
      </c>
      <c r="C1283" s="569">
        <f t="shared" si="65"/>
        <v>42672</v>
      </c>
      <c r="D1283" s="552" t="s">
        <v>1020</v>
      </c>
      <c r="E1283" s="589">
        <v>42672</v>
      </c>
      <c r="F1283" s="592" t="s">
        <v>677</v>
      </c>
      <c r="G1283" s="590" t="s">
        <v>763</v>
      </c>
      <c r="H1283" s="555" t="s">
        <v>1073</v>
      </c>
      <c r="I1283" s="131">
        <v>105</v>
      </c>
      <c r="J1283" s="131">
        <v>7989.0857501109986</v>
      </c>
      <c r="K1283" s="21">
        <f t="shared" si="64"/>
        <v>838854</v>
      </c>
      <c r="L1283" s="550" t="s">
        <v>166</v>
      </c>
      <c r="M1283" s="550" t="s">
        <v>161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63"/>
    </row>
    <row r="1284" spans="1:26" ht="15.75" hidden="1" customHeight="1">
      <c r="A1284" s="120" t="str">
        <f>IF(B1284&lt;&gt;"",IF(AND(B1284&gt;=_TM1,B1284&lt;=_TM2,OR(TH!L1284="1111",TH!M1284="1111")),TH!D1284,""),"")</f>
        <v/>
      </c>
      <c r="B1284" s="568">
        <f t="shared" si="60"/>
        <v>10</v>
      </c>
      <c r="C1284" s="569">
        <f t="shared" si="65"/>
        <v>42672</v>
      </c>
      <c r="D1284" s="552" t="s">
        <v>1020</v>
      </c>
      <c r="E1284" s="589">
        <v>42672</v>
      </c>
      <c r="F1284" s="592" t="s">
        <v>678</v>
      </c>
      <c r="G1284" s="590" t="s">
        <v>763</v>
      </c>
      <c r="H1284" s="555" t="s">
        <v>1073</v>
      </c>
      <c r="I1284" s="131">
        <v>110</v>
      </c>
      <c r="J1284" s="131">
        <v>8597.7779977385017</v>
      </c>
      <c r="K1284" s="21">
        <f t="shared" si="64"/>
        <v>945756</v>
      </c>
      <c r="L1284" s="550" t="s">
        <v>166</v>
      </c>
      <c r="M1284" s="550" t="s">
        <v>161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63"/>
    </row>
    <row r="1285" spans="1:26" ht="15.75" hidden="1" customHeight="1">
      <c r="A1285" s="120" t="str">
        <f>IF(B1285&lt;&gt;"",IF(AND(B1285&gt;=_TM1,B1285&lt;=_TM2,OR(TH!L1285="1111",TH!M1285="1111")),TH!D1285,""),"")</f>
        <v/>
      </c>
      <c r="B1285" s="568">
        <f t="shared" si="60"/>
        <v>11</v>
      </c>
      <c r="C1285" s="569">
        <f t="shared" si="65"/>
        <v>42682</v>
      </c>
      <c r="D1285" s="552" t="s">
        <v>1020</v>
      </c>
      <c r="E1285" s="589">
        <v>42682</v>
      </c>
      <c r="F1285" s="592" t="s">
        <v>500</v>
      </c>
      <c r="G1285" s="590" t="s">
        <v>764</v>
      </c>
      <c r="H1285" s="555" t="s">
        <v>1073</v>
      </c>
      <c r="I1285" s="572">
        <v>300</v>
      </c>
      <c r="J1285" s="572">
        <v>8673.86452869194</v>
      </c>
      <c r="K1285" s="21">
        <f t="shared" si="64"/>
        <v>2602159</v>
      </c>
      <c r="L1285" s="550" t="s">
        <v>166</v>
      </c>
      <c r="M1285" s="550" t="s">
        <v>161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63"/>
    </row>
    <row r="1286" spans="1:26" ht="15.75" hidden="1" customHeight="1">
      <c r="A1286" s="120" t="str">
        <f>IF(B1286&lt;&gt;"",IF(AND(B1286&gt;=_TM1,B1286&lt;=_TM2,OR(TH!L1286="1111",TH!M1286="1111")),TH!D1286,""),"")</f>
        <v/>
      </c>
      <c r="B1286" s="568">
        <f t="shared" si="60"/>
        <v>11</v>
      </c>
      <c r="C1286" s="569">
        <f t="shared" si="65"/>
        <v>42682</v>
      </c>
      <c r="D1286" s="552" t="s">
        <v>1020</v>
      </c>
      <c r="E1286" s="589">
        <v>42682</v>
      </c>
      <c r="F1286" s="592" t="s">
        <v>500</v>
      </c>
      <c r="G1286" s="590" t="s">
        <v>764</v>
      </c>
      <c r="H1286" s="555" t="s">
        <v>1073</v>
      </c>
      <c r="I1286" s="131">
        <v>2000</v>
      </c>
      <c r="J1286" s="131">
        <v>8673.86452869194</v>
      </c>
      <c r="K1286" s="21">
        <f t="shared" si="64"/>
        <v>17347729</v>
      </c>
      <c r="L1286" s="550" t="s">
        <v>166</v>
      </c>
      <c r="M1286" s="550" t="s">
        <v>161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63"/>
    </row>
    <row r="1287" spans="1:26" ht="15.75" hidden="1" customHeight="1">
      <c r="A1287" s="120" t="str">
        <f>IF(B1287&lt;&gt;"",IF(AND(B1287&gt;=_TM1,B1287&lt;=_TM2,OR(TH!L1287="1111",TH!M1287="1111")),TH!D1287,""),"")</f>
        <v/>
      </c>
      <c r="B1287" s="568">
        <f t="shared" si="60"/>
        <v>11</v>
      </c>
      <c r="C1287" s="569">
        <f t="shared" si="65"/>
        <v>42682</v>
      </c>
      <c r="D1287" s="552" t="s">
        <v>1020</v>
      </c>
      <c r="E1287" s="589">
        <v>42682</v>
      </c>
      <c r="F1287" s="592" t="s">
        <v>679</v>
      </c>
      <c r="G1287" s="590" t="s">
        <v>764</v>
      </c>
      <c r="H1287" s="555" t="s">
        <v>1073</v>
      </c>
      <c r="I1287" s="131">
        <v>4600</v>
      </c>
      <c r="J1287" s="131">
        <v>684.77877858094269</v>
      </c>
      <c r="K1287" s="21">
        <f t="shared" si="64"/>
        <v>3149982</v>
      </c>
      <c r="L1287" s="550" t="s">
        <v>166</v>
      </c>
      <c r="M1287" s="550" t="s">
        <v>161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63"/>
    </row>
    <row r="1288" spans="1:26" ht="15.75" hidden="1" customHeight="1">
      <c r="A1288" s="120" t="str">
        <f>IF(B1288&lt;&gt;"",IF(AND(B1288&gt;=_TM1,B1288&lt;=_TM2,OR(TH!L1288="1111",TH!M1288="1111")),TH!D1288,""),"")</f>
        <v/>
      </c>
      <c r="B1288" s="568">
        <f t="shared" si="60"/>
        <v>11</v>
      </c>
      <c r="C1288" s="569">
        <f t="shared" si="65"/>
        <v>42682</v>
      </c>
      <c r="D1288" s="552" t="s">
        <v>1020</v>
      </c>
      <c r="E1288" s="589">
        <v>42682</v>
      </c>
      <c r="F1288" s="592" t="s">
        <v>680</v>
      </c>
      <c r="G1288" s="590" t="s">
        <v>765</v>
      </c>
      <c r="H1288" s="555" t="s">
        <v>1073</v>
      </c>
      <c r="I1288" s="131">
        <v>6030</v>
      </c>
      <c r="J1288" s="131">
        <v>10119.508616807265</v>
      </c>
      <c r="K1288" s="21">
        <f t="shared" si="64"/>
        <v>61020637</v>
      </c>
      <c r="L1288" s="550" t="s">
        <v>166</v>
      </c>
      <c r="M1288" s="550" t="s">
        <v>161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63"/>
    </row>
    <row r="1289" spans="1:26" ht="15.75" hidden="1" customHeight="1">
      <c r="A1289" s="120" t="str">
        <f>IF(B1289&lt;&gt;"",IF(AND(B1289&gt;=_TM1,B1289&lt;=_TM2,OR(TH!L1289="1111",TH!M1289="1111")),TH!D1289,""),"")</f>
        <v/>
      </c>
      <c r="B1289" s="568">
        <f t="shared" si="60"/>
        <v>11</v>
      </c>
      <c r="C1289" s="569">
        <f t="shared" si="65"/>
        <v>42683</v>
      </c>
      <c r="D1289" s="552" t="s">
        <v>1020</v>
      </c>
      <c r="E1289" s="589">
        <v>42683</v>
      </c>
      <c r="F1289" s="592" t="s">
        <v>690</v>
      </c>
      <c r="G1289" s="590" t="s">
        <v>766</v>
      </c>
      <c r="H1289" s="555" t="s">
        <v>1073</v>
      </c>
      <c r="I1289" s="131">
        <v>318</v>
      </c>
      <c r="J1289" s="131">
        <v>6391.2686000887979</v>
      </c>
      <c r="K1289" s="21">
        <f t="shared" si="64"/>
        <v>2032423</v>
      </c>
      <c r="L1289" s="550" t="s">
        <v>166</v>
      </c>
      <c r="M1289" s="550" t="s">
        <v>161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63"/>
    </row>
    <row r="1290" spans="1:26" ht="15.75" hidden="1" customHeight="1">
      <c r="A1290" s="120" t="str">
        <f>IF(B1290&lt;&gt;"",IF(AND(B1290&gt;=_TM1,B1290&lt;=_TM2,OR(TH!L1290="1111",TH!M1290="1111")),TH!D1290,""),"")</f>
        <v/>
      </c>
      <c r="B1290" s="568">
        <f t="shared" si="60"/>
        <v>11</v>
      </c>
      <c r="C1290" s="569">
        <f t="shared" si="65"/>
        <v>42683</v>
      </c>
      <c r="D1290" s="552" t="s">
        <v>1020</v>
      </c>
      <c r="E1290" s="589">
        <v>42683</v>
      </c>
      <c r="F1290" s="592" t="s">
        <v>538</v>
      </c>
      <c r="G1290" s="590" t="s">
        <v>766</v>
      </c>
      <c r="H1290" s="555" t="s">
        <v>1073</v>
      </c>
      <c r="I1290" s="572">
        <v>520</v>
      </c>
      <c r="J1290" s="131">
        <v>7380.3935024834936</v>
      </c>
      <c r="K1290" s="21">
        <f t="shared" si="64"/>
        <v>3837805</v>
      </c>
      <c r="L1290" s="550" t="s">
        <v>166</v>
      </c>
      <c r="M1290" s="550" t="s">
        <v>161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63"/>
    </row>
    <row r="1291" spans="1:26" ht="15.75" hidden="1" customHeight="1">
      <c r="A1291" s="120" t="str">
        <f>IF(B1291&lt;&gt;"",IF(AND(B1291&gt;=_TM1,B1291&lt;=_TM2,OR(TH!L1291="1111",TH!M1291="1111")),TH!D1291,""),"")</f>
        <v/>
      </c>
      <c r="B1291" s="568">
        <f t="shared" si="60"/>
        <v>11</v>
      </c>
      <c r="C1291" s="569">
        <f t="shared" si="65"/>
        <v>42683</v>
      </c>
      <c r="D1291" s="552" t="s">
        <v>1020</v>
      </c>
      <c r="E1291" s="589">
        <v>42683</v>
      </c>
      <c r="F1291" s="592" t="s">
        <v>811</v>
      </c>
      <c r="G1291" s="590" t="s">
        <v>809</v>
      </c>
      <c r="H1291" s="555" t="s">
        <v>1073</v>
      </c>
      <c r="I1291" s="131">
        <v>4000</v>
      </c>
      <c r="J1291" s="131">
        <v>6391.2686000887979</v>
      </c>
      <c r="K1291" s="21">
        <f t="shared" si="64"/>
        <v>25565074</v>
      </c>
      <c r="L1291" s="550" t="s">
        <v>166</v>
      </c>
      <c r="M1291" s="550" t="s">
        <v>161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63"/>
    </row>
    <row r="1292" spans="1:26" ht="15.75" hidden="1" customHeight="1">
      <c r="A1292" s="120" t="str">
        <f>IF(B1292&lt;&gt;"",IF(AND(B1292&gt;=_TM1,B1292&lt;=_TM2,OR(TH!L1292="1111",TH!M1292="1111")),TH!D1292,""),"")</f>
        <v/>
      </c>
      <c r="B1292" s="568">
        <f t="shared" si="60"/>
        <v>11</v>
      </c>
      <c r="C1292" s="569">
        <f t="shared" si="65"/>
        <v>42684</v>
      </c>
      <c r="D1292" s="552" t="s">
        <v>1020</v>
      </c>
      <c r="E1292" s="589">
        <v>42684</v>
      </c>
      <c r="F1292" s="592" t="s">
        <v>811</v>
      </c>
      <c r="G1292" s="590" t="s">
        <v>810</v>
      </c>
      <c r="H1292" s="555" t="s">
        <v>1073</v>
      </c>
      <c r="I1292" s="131">
        <v>4000</v>
      </c>
      <c r="J1292" s="131">
        <v>6391.2686000887979</v>
      </c>
      <c r="K1292" s="21">
        <f t="shared" si="64"/>
        <v>25565074</v>
      </c>
      <c r="L1292" s="550" t="s">
        <v>166</v>
      </c>
      <c r="M1292" s="550" t="s">
        <v>161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63"/>
    </row>
    <row r="1293" spans="1:26" ht="15.75" hidden="1" customHeight="1">
      <c r="A1293" s="120" t="str">
        <f>IF(B1293&lt;&gt;"",IF(AND(B1293&gt;=_TM1,B1293&lt;=_TM2,OR(TH!L1293="1111",TH!M1293="1111")),TH!D1293,""),"")</f>
        <v/>
      </c>
      <c r="B1293" s="568">
        <f t="shared" si="60"/>
        <v>11</v>
      </c>
      <c r="C1293" s="569">
        <f t="shared" si="65"/>
        <v>42693</v>
      </c>
      <c r="D1293" s="552" t="s">
        <v>1020</v>
      </c>
      <c r="E1293" s="589">
        <v>42693</v>
      </c>
      <c r="F1293" s="592" t="s">
        <v>683</v>
      </c>
      <c r="G1293" s="590" t="s">
        <v>767</v>
      </c>
      <c r="H1293" s="555" t="s">
        <v>1073</v>
      </c>
      <c r="I1293" s="131">
        <v>23</v>
      </c>
      <c r="J1293" s="131">
        <v>14989.046597827301</v>
      </c>
      <c r="K1293" s="21">
        <f t="shared" si="64"/>
        <v>344748</v>
      </c>
      <c r="L1293" s="550" t="s">
        <v>166</v>
      </c>
      <c r="M1293" s="550" t="s">
        <v>161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63"/>
    </row>
    <row r="1294" spans="1:26" ht="15.75" hidden="1" customHeight="1">
      <c r="A1294" s="120" t="str">
        <f>IF(B1294&lt;&gt;"",IF(AND(B1294&gt;=_TM1,B1294&lt;=_TM2,OR(TH!L1294="1111",TH!M1294="1111")),TH!D1294,""),"")</f>
        <v/>
      </c>
      <c r="B1294" s="568">
        <f t="shared" si="60"/>
        <v>11</v>
      </c>
      <c r="C1294" s="569">
        <f t="shared" si="65"/>
        <v>42693</v>
      </c>
      <c r="D1294" s="552" t="s">
        <v>1020</v>
      </c>
      <c r="E1294" s="589">
        <v>42693</v>
      </c>
      <c r="F1294" s="592" t="s">
        <v>496</v>
      </c>
      <c r="G1294" s="590" t="s">
        <v>767</v>
      </c>
      <c r="H1294" s="555" t="s">
        <v>1073</v>
      </c>
      <c r="I1294" s="131">
        <v>63</v>
      </c>
      <c r="J1294" s="131">
        <v>57521.417400799182</v>
      </c>
      <c r="K1294" s="21">
        <f t="shared" si="64"/>
        <v>3623849</v>
      </c>
      <c r="L1294" s="550" t="s">
        <v>166</v>
      </c>
      <c r="M1294" s="550" t="s">
        <v>161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63"/>
    </row>
    <row r="1295" spans="1:26" ht="15.75" hidden="1" customHeight="1">
      <c r="A1295" s="120" t="str">
        <f>IF(B1295&lt;&gt;"",IF(AND(B1295&gt;=_TM1,B1295&lt;=_TM2,OR(TH!L1295="1111",TH!M1295="1111")),TH!D1295,""),"")</f>
        <v/>
      </c>
      <c r="B1295" s="568">
        <f t="shared" si="60"/>
        <v>11</v>
      </c>
      <c r="C1295" s="569">
        <f t="shared" si="65"/>
        <v>42693</v>
      </c>
      <c r="D1295" s="552" t="s">
        <v>1020</v>
      </c>
      <c r="E1295" s="589">
        <v>42693</v>
      </c>
      <c r="F1295" s="592" t="s">
        <v>684</v>
      </c>
      <c r="G1295" s="590" t="s">
        <v>767</v>
      </c>
      <c r="H1295" s="555" t="s">
        <v>1073</v>
      </c>
      <c r="I1295" s="131">
        <v>27</v>
      </c>
      <c r="J1295" s="131">
        <v>27695.497267051462</v>
      </c>
      <c r="K1295" s="21">
        <f t="shared" si="64"/>
        <v>747778</v>
      </c>
      <c r="L1295" s="550" t="s">
        <v>166</v>
      </c>
      <c r="M1295" s="550" t="s">
        <v>161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63"/>
    </row>
    <row r="1296" spans="1:26" ht="15.75" hidden="1" customHeight="1">
      <c r="A1296" s="120" t="str">
        <f>IF(B1296&lt;&gt;"",IF(AND(B1296&gt;=_TM1,B1296&lt;=_TM2,OR(TH!L1296="1111",TH!M1296="1111")),TH!D1296,""),"")</f>
        <v/>
      </c>
      <c r="B1296" s="568">
        <f t="shared" si="60"/>
        <v>11</v>
      </c>
      <c r="C1296" s="569">
        <f t="shared" si="65"/>
        <v>42693</v>
      </c>
      <c r="D1296" s="552" t="s">
        <v>1020</v>
      </c>
      <c r="E1296" s="589">
        <v>42693</v>
      </c>
      <c r="F1296" s="592" t="s">
        <v>685</v>
      </c>
      <c r="G1296" s="590" t="s">
        <v>767</v>
      </c>
      <c r="H1296" s="555" t="s">
        <v>1073</v>
      </c>
      <c r="I1296" s="131">
        <v>27</v>
      </c>
      <c r="J1296" s="131">
        <v>25184.641745588004</v>
      </c>
      <c r="K1296" s="21">
        <f t="shared" si="64"/>
        <v>679985</v>
      </c>
      <c r="L1296" s="550" t="s">
        <v>166</v>
      </c>
      <c r="M1296" s="550" t="s">
        <v>161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63"/>
    </row>
    <row r="1297" spans="1:26" ht="15.75" hidden="1" customHeight="1">
      <c r="A1297" s="120" t="str">
        <f>IF(B1297&lt;&gt;"",IF(AND(B1297&gt;=_TM1,B1297&lt;=_TM2,OR(TH!L1297="1111",TH!M1297="1111")),TH!D1297,""),"")</f>
        <v/>
      </c>
      <c r="B1297" s="568">
        <f t="shared" si="60"/>
        <v>11</v>
      </c>
      <c r="C1297" s="569">
        <f t="shared" si="65"/>
        <v>42693</v>
      </c>
      <c r="D1297" s="552" t="s">
        <v>1020</v>
      </c>
      <c r="E1297" s="589">
        <v>42693</v>
      </c>
      <c r="F1297" s="592" t="s">
        <v>686</v>
      </c>
      <c r="G1297" s="590" t="s">
        <v>767</v>
      </c>
      <c r="H1297" s="555" t="s">
        <v>1073</v>
      </c>
      <c r="I1297" s="131">
        <v>26</v>
      </c>
      <c r="J1297" s="131">
        <v>35836.756079069331</v>
      </c>
      <c r="K1297" s="21">
        <f t="shared" si="64"/>
        <v>931756</v>
      </c>
      <c r="L1297" s="550" t="s">
        <v>166</v>
      </c>
      <c r="M1297" s="550" t="s">
        <v>161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63"/>
    </row>
    <row r="1298" spans="1:26" ht="15.75" hidden="1" customHeight="1">
      <c r="A1298" s="120" t="str">
        <f>IF(B1298&lt;&gt;"",IF(AND(B1298&gt;=_TM1,B1298&lt;=_TM2,OR(TH!L1298="1111",TH!M1298="1111")),TH!D1298,""),"")</f>
        <v/>
      </c>
      <c r="B1298" s="568">
        <f t="shared" si="60"/>
        <v>11</v>
      </c>
      <c r="C1298" s="569">
        <f t="shared" si="65"/>
        <v>42693</v>
      </c>
      <c r="D1298" s="552" t="s">
        <v>1020</v>
      </c>
      <c r="E1298" s="589">
        <v>42693</v>
      </c>
      <c r="F1298" s="592" t="s">
        <v>687</v>
      </c>
      <c r="G1298" s="590" t="s">
        <v>767</v>
      </c>
      <c r="H1298" s="555" t="s">
        <v>1073</v>
      </c>
      <c r="I1298" s="131">
        <v>21</v>
      </c>
      <c r="J1298" s="131">
        <v>21836.834383636728</v>
      </c>
      <c r="K1298" s="21">
        <f t="shared" si="64"/>
        <v>458574</v>
      </c>
      <c r="L1298" s="550" t="s">
        <v>166</v>
      </c>
      <c r="M1298" s="550" t="s">
        <v>161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63"/>
    </row>
    <row r="1299" spans="1:26" ht="15.75" hidden="1" customHeight="1">
      <c r="A1299" s="120" t="str">
        <f>IF(B1299&lt;&gt;"",IF(AND(B1299&gt;=_TM1,B1299&lt;=_TM2,OR(TH!L1299="1111",TH!M1299="1111")),TH!D1299,""),"")</f>
        <v/>
      </c>
      <c r="B1299" s="568">
        <f t="shared" si="60"/>
        <v>11</v>
      </c>
      <c r="C1299" s="569">
        <f t="shared" si="65"/>
        <v>42694</v>
      </c>
      <c r="D1299" s="552" t="s">
        <v>1020</v>
      </c>
      <c r="E1299" s="589">
        <v>42694</v>
      </c>
      <c r="F1299" s="592" t="s">
        <v>957</v>
      </c>
      <c r="G1299" s="590" t="s">
        <v>436</v>
      </c>
      <c r="H1299" s="555" t="s">
        <v>1073</v>
      </c>
      <c r="I1299" s="131">
        <v>1560</v>
      </c>
      <c r="J1299" s="131">
        <v>9586.9029001331983</v>
      </c>
      <c r="K1299" s="21">
        <f t="shared" si="64"/>
        <v>14955569</v>
      </c>
      <c r="L1299" s="550" t="s">
        <v>166</v>
      </c>
      <c r="M1299" s="550" t="s">
        <v>161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63"/>
    </row>
    <row r="1300" spans="1:26" ht="15.75" hidden="1" customHeight="1">
      <c r="A1300" s="120" t="str">
        <f>IF(B1300&lt;&gt;"",IF(AND(B1300&gt;=_TM1,B1300&lt;=_TM2,OR(TH!L1300="1111",TH!M1300="1111")),TH!D1300,""),"")</f>
        <v/>
      </c>
      <c r="B1300" s="568">
        <f t="shared" si="60"/>
        <v>11</v>
      </c>
      <c r="C1300" s="569">
        <f t="shared" si="65"/>
        <v>42693</v>
      </c>
      <c r="D1300" s="552" t="s">
        <v>1020</v>
      </c>
      <c r="E1300" s="589">
        <v>42693</v>
      </c>
      <c r="F1300" s="592" t="s">
        <v>811</v>
      </c>
      <c r="G1300" s="590" t="s">
        <v>813</v>
      </c>
      <c r="H1300" s="555" t="s">
        <v>1073</v>
      </c>
      <c r="I1300" s="131">
        <v>4000</v>
      </c>
      <c r="J1300" s="131">
        <v>6391.2686000887979</v>
      </c>
      <c r="K1300" s="21">
        <f t="shared" si="64"/>
        <v>25565074</v>
      </c>
      <c r="L1300" s="550" t="s">
        <v>166</v>
      </c>
      <c r="M1300" s="550" t="s">
        <v>161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63"/>
    </row>
    <row r="1301" spans="1:26" ht="15.75" hidden="1" customHeight="1">
      <c r="A1301" s="120" t="str">
        <f>IF(B1301&lt;&gt;"",IF(AND(B1301&gt;=_TM1,B1301&lt;=_TM2,OR(TH!L1301="1111",TH!M1301="1111")),TH!D1301,""),"")</f>
        <v/>
      </c>
      <c r="B1301" s="568">
        <f t="shared" si="60"/>
        <v>11</v>
      </c>
      <c r="C1301" s="569">
        <f t="shared" si="65"/>
        <v>42696</v>
      </c>
      <c r="D1301" s="552" t="s">
        <v>1020</v>
      </c>
      <c r="E1301" s="589">
        <v>42696</v>
      </c>
      <c r="F1301" s="592" t="s">
        <v>682</v>
      </c>
      <c r="G1301" s="590" t="s">
        <v>768</v>
      </c>
      <c r="H1301" s="555" t="s">
        <v>1073</v>
      </c>
      <c r="I1301" s="131">
        <v>608</v>
      </c>
      <c r="J1301" s="131">
        <v>11489.06617396915</v>
      </c>
      <c r="K1301" s="21">
        <f t="shared" si="64"/>
        <v>6985352</v>
      </c>
      <c r="L1301" s="550" t="s">
        <v>166</v>
      </c>
      <c r="M1301" s="550" t="s">
        <v>161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63"/>
    </row>
    <row r="1302" spans="1:26" ht="15.75" hidden="1" customHeight="1">
      <c r="A1302" s="120" t="str">
        <f>IF(B1302&lt;&gt;"",IF(AND(B1302&gt;=_TM1,B1302&lt;=_TM2,OR(TH!L1302="1111",TH!M1302="1111")),TH!D1302,""),"")</f>
        <v/>
      </c>
      <c r="B1302" s="568">
        <f t="shared" si="60"/>
        <v>11</v>
      </c>
      <c r="C1302" s="569">
        <f t="shared" si="65"/>
        <v>42697</v>
      </c>
      <c r="D1302" s="552" t="s">
        <v>1020</v>
      </c>
      <c r="E1302" s="589">
        <v>42697</v>
      </c>
      <c r="F1302" s="592" t="s">
        <v>811</v>
      </c>
      <c r="G1302" s="590" t="s">
        <v>814</v>
      </c>
      <c r="H1302" s="555" t="s">
        <v>1073</v>
      </c>
      <c r="I1302" s="131">
        <v>3353</v>
      </c>
      <c r="J1302" s="131">
        <v>6391.2686000887979</v>
      </c>
      <c r="K1302" s="21">
        <f t="shared" si="64"/>
        <v>21429924</v>
      </c>
      <c r="L1302" s="550" t="s">
        <v>166</v>
      </c>
      <c r="M1302" s="550" t="s">
        <v>161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63"/>
    </row>
    <row r="1303" spans="1:26" ht="15.75" hidden="1" customHeight="1">
      <c r="A1303" s="120" t="str">
        <f>IF(B1303&lt;&gt;"",IF(AND(B1303&gt;=_TM1,B1303&lt;=_TM2,OR(TH!L1303="1111",TH!M1303="1111")),TH!D1303,""),"")</f>
        <v/>
      </c>
      <c r="B1303" s="568">
        <f t="shared" si="60"/>
        <v>11</v>
      </c>
      <c r="C1303" s="569">
        <f t="shared" si="65"/>
        <v>42703</v>
      </c>
      <c r="D1303" s="552" t="s">
        <v>1020</v>
      </c>
      <c r="E1303" s="589">
        <v>42703</v>
      </c>
      <c r="F1303" s="592" t="s">
        <v>689</v>
      </c>
      <c r="G1303" s="590" t="s">
        <v>769</v>
      </c>
      <c r="H1303" s="555" t="s">
        <v>1073</v>
      </c>
      <c r="I1303" s="572">
        <v>1020</v>
      </c>
      <c r="J1303" s="131">
        <v>5173.8841048337899</v>
      </c>
      <c r="K1303" s="21">
        <f t="shared" si="64"/>
        <v>5277362</v>
      </c>
      <c r="L1303" s="550" t="s">
        <v>166</v>
      </c>
      <c r="M1303" s="550" t="s">
        <v>161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63"/>
    </row>
    <row r="1304" spans="1:26" ht="15.75" hidden="1" customHeight="1">
      <c r="A1304" s="120" t="str">
        <f>IF(B1304&lt;&gt;"",IF(AND(B1304&gt;=_TM1,B1304&lt;=_TM2,OR(TH!L1304="1111",TH!M1304="1111")),TH!D1304,""),"")</f>
        <v/>
      </c>
      <c r="B1304" s="568">
        <f t="shared" si="60"/>
        <v>11</v>
      </c>
      <c r="C1304" s="569">
        <f t="shared" si="65"/>
        <v>42703</v>
      </c>
      <c r="D1304" s="552" t="s">
        <v>1020</v>
      </c>
      <c r="E1304" s="589">
        <v>42703</v>
      </c>
      <c r="F1304" s="592" t="s">
        <v>691</v>
      </c>
      <c r="G1304" s="590" t="s">
        <v>770</v>
      </c>
      <c r="H1304" s="555" t="s">
        <v>1073</v>
      </c>
      <c r="I1304" s="572">
        <v>25</v>
      </c>
      <c r="J1304" s="131">
        <v>72282.20440576617</v>
      </c>
      <c r="K1304" s="21">
        <f t="shared" si="64"/>
        <v>1807055</v>
      </c>
      <c r="L1304" s="550" t="s">
        <v>166</v>
      </c>
      <c r="M1304" s="550" t="s">
        <v>161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63"/>
    </row>
    <row r="1305" spans="1:26" ht="15.75" hidden="1" customHeight="1">
      <c r="A1305" s="120" t="str">
        <f>IF(B1305&lt;&gt;"",IF(AND(B1305&gt;=_TM1,B1305&lt;=_TM2,OR(TH!L1305="1111",TH!M1305="1111")),TH!D1305,""),"")</f>
        <v/>
      </c>
      <c r="B1305" s="568">
        <f t="shared" si="60"/>
        <v>11</v>
      </c>
      <c r="C1305" s="569">
        <f t="shared" si="65"/>
        <v>42703</v>
      </c>
      <c r="D1305" s="552" t="s">
        <v>1020</v>
      </c>
      <c r="E1305" s="589">
        <v>42703</v>
      </c>
      <c r="F1305" s="592" t="s">
        <v>692</v>
      </c>
      <c r="G1305" s="590" t="s">
        <v>770</v>
      </c>
      <c r="H1305" s="555" t="s">
        <v>1073</v>
      </c>
      <c r="I1305" s="572">
        <v>5</v>
      </c>
      <c r="J1305" s="131">
        <v>58510.542303193884</v>
      </c>
      <c r="K1305" s="21">
        <f t="shared" si="64"/>
        <v>292553</v>
      </c>
      <c r="L1305" s="550" t="s">
        <v>166</v>
      </c>
      <c r="M1305" s="550" t="s">
        <v>161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63"/>
    </row>
    <row r="1306" spans="1:26" ht="15.75" hidden="1" customHeight="1">
      <c r="A1306" s="120" t="str">
        <f>IF(B1306&lt;&gt;"",IF(AND(B1306&gt;=_TM1,B1306&lt;=_TM2,OR(TH!L1306="1111",TH!M1306="1111")),TH!D1306,""),"")</f>
        <v/>
      </c>
      <c r="B1306" s="568">
        <f t="shared" si="60"/>
        <v>11</v>
      </c>
      <c r="C1306" s="569">
        <f t="shared" si="65"/>
        <v>42703</v>
      </c>
      <c r="D1306" s="552" t="s">
        <v>1020</v>
      </c>
      <c r="E1306" s="589">
        <v>42703</v>
      </c>
      <c r="F1306" s="592" t="s">
        <v>693</v>
      </c>
      <c r="G1306" s="590" t="s">
        <v>770</v>
      </c>
      <c r="H1306" s="555" t="s">
        <v>1073</v>
      </c>
      <c r="I1306" s="572">
        <v>100</v>
      </c>
      <c r="J1306" s="131">
        <v>43825.841829180332</v>
      </c>
      <c r="K1306" s="21">
        <f t="shared" si="64"/>
        <v>4382584</v>
      </c>
      <c r="L1306" s="550" t="s">
        <v>166</v>
      </c>
      <c r="M1306" s="550" t="s">
        <v>161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63"/>
    </row>
    <row r="1307" spans="1:26" ht="15.75" hidden="1" customHeight="1">
      <c r="A1307" s="120" t="str">
        <f>IF(B1307&lt;&gt;"",IF(AND(B1307&gt;=_TM1,B1307&lt;=_TM2,OR(TH!L1307="1111",TH!M1307="1111")),TH!D1307,""),"")</f>
        <v/>
      </c>
      <c r="B1307" s="568">
        <f t="shared" si="60"/>
        <v>11</v>
      </c>
      <c r="C1307" s="569">
        <f t="shared" si="65"/>
        <v>42703</v>
      </c>
      <c r="D1307" s="552" t="s">
        <v>1020</v>
      </c>
      <c r="E1307" s="589">
        <v>42703</v>
      </c>
      <c r="F1307" s="592" t="s">
        <v>694</v>
      </c>
      <c r="G1307" s="590" t="s">
        <v>770</v>
      </c>
      <c r="H1307" s="555" t="s">
        <v>1073</v>
      </c>
      <c r="I1307" s="131">
        <v>12</v>
      </c>
      <c r="J1307" s="131">
        <v>85216.914667850637</v>
      </c>
      <c r="K1307" s="21">
        <f t="shared" si="64"/>
        <v>1022603</v>
      </c>
      <c r="L1307" s="550" t="s">
        <v>166</v>
      </c>
      <c r="M1307" s="550" t="s">
        <v>161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63"/>
    </row>
    <row r="1308" spans="1:26" ht="15.75" hidden="1" customHeight="1">
      <c r="A1308" s="120" t="str">
        <f>IF(B1308&lt;&gt;"",IF(AND(B1308&gt;=_TM1,B1308&lt;=_TM2,OR(TH!L1308="1111",TH!M1308="1111")),TH!D1308,""),"")</f>
        <v/>
      </c>
      <c r="B1308" s="568">
        <f t="shared" si="60"/>
        <v>12</v>
      </c>
      <c r="C1308" s="569">
        <f t="shared" si="65"/>
        <v>42705</v>
      </c>
      <c r="D1308" s="552" t="s">
        <v>1020</v>
      </c>
      <c r="E1308" s="589">
        <v>42705</v>
      </c>
      <c r="F1308" s="592" t="s">
        <v>811</v>
      </c>
      <c r="G1308" s="590" t="s">
        <v>774</v>
      </c>
      <c r="H1308" s="555" t="s">
        <v>1073</v>
      </c>
      <c r="I1308" s="131">
        <v>2400</v>
      </c>
      <c r="J1308" s="131">
        <v>6391.2686000887979</v>
      </c>
      <c r="K1308" s="21">
        <f t="shared" si="64"/>
        <v>15339045</v>
      </c>
      <c r="L1308" s="550" t="s">
        <v>166</v>
      </c>
      <c r="M1308" s="550" t="s">
        <v>161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63"/>
    </row>
    <row r="1309" spans="1:26" ht="15.75" hidden="1" customHeight="1">
      <c r="A1309" s="120" t="str">
        <f>IF(B1309&lt;&gt;"",IF(AND(B1309&gt;=_TM1,B1309&lt;=_TM2,OR(TH!L1309="1111",TH!M1309="1111")),TH!D1309,""),"")</f>
        <v/>
      </c>
      <c r="B1309" s="568">
        <f t="shared" si="60"/>
        <v>12</v>
      </c>
      <c r="C1309" s="569">
        <f t="shared" si="65"/>
        <v>42706</v>
      </c>
      <c r="D1309" s="552" t="s">
        <v>1020</v>
      </c>
      <c r="E1309" s="589">
        <v>42706</v>
      </c>
      <c r="F1309" s="592" t="s">
        <v>811</v>
      </c>
      <c r="G1309" s="590" t="s">
        <v>822</v>
      </c>
      <c r="H1309" s="555" t="s">
        <v>1073</v>
      </c>
      <c r="I1309" s="572">
        <v>1600</v>
      </c>
      <c r="J1309" s="572">
        <v>6391.2686000887979</v>
      </c>
      <c r="K1309" s="21">
        <f t="shared" si="64"/>
        <v>10226030</v>
      </c>
      <c r="L1309" s="550" t="s">
        <v>166</v>
      </c>
      <c r="M1309" s="550" t="s">
        <v>161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63"/>
    </row>
    <row r="1310" spans="1:26" ht="15.75" hidden="1" customHeight="1">
      <c r="A1310" s="120" t="str">
        <f>IF(B1310&lt;&gt;"",IF(AND(B1310&gt;=_TM1,B1310&lt;=_TM2,OR(TH!L1310="1111",TH!M1310="1111")),TH!D1310,""),"")</f>
        <v/>
      </c>
      <c r="B1310" s="568">
        <f t="shared" si="60"/>
        <v>12</v>
      </c>
      <c r="C1310" s="569">
        <f t="shared" si="65"/>
        <v>42707</v>
      </c>
      <c r="D1310" s="552" t="s">
        <v>1020</v>
      </c>
      <c r="E1310" s="589">
        <v>42707</v>
      </c>
      <c r="F1310" s="592" t="s">
        <v>811</v>
      </c>
      <c r="G1310" s="590" t="s">
        <v>823</v>
      </c>
      <c r="H1310" s="555" t="s">
        <v>1073</v>
      </c>
      <c r="I1310" s="131">
        <v>4000</v>
      </c>
      <c r="J1310" s="131">
        <v>6391.2686000887979</v>
      </c>
      <c r="K1310" s="21">
        <f t="shared" si="64"/>
        <v>25565074</v>
      </c>
      <c r="L1310" s="550" t="s">
        <v>166</v>
      </c>
      <c r="M1310" s="550" t="s">
        <v>161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63"/>
    </row>
    <row r="1311" spans="1:26" ht="15.75" hidden="1" customHeight="1">
      <c r="A1311" s="120" t="str">
        <f>IF(B1311&lt;&gt;"",IF(AND(B1311&gt;=_TM1,B1311&lt;=_TM2,OR(TH!L1311="1111",TH!M1311="1111")),TH!D1311,""),"")</f>
        <v/>
      </c>
      <c r="B1311" s="568">
        <f t="shared" si="60"/>
        <v>12</v>
      </c>
      <c r="C1311" s="569">
        <f t="shared" si="65"/>
        <v>42708</v>
      </c>
      <c r="D1311" s="552" t="s">
        <v>1020</v>
      </c>
      <c r="E1311" s="589">
        <v>42708</v>
      </c>
      <c r="F1311" s="592" t="s">
        <v>825</v>
      </c>
      <c r="G1311" s="590" t="s">
        <v>824</v>
      </c>
      <c r="H1311" s="555" t="s">
        <v>1073</v>
      </c>
      <c r="I1311" s="131">
        <v>6154</v>
      </c>
      <c r="J1311" s="131">
        <v>7456.4800334369311</v>
      </c>
      <c r="K1311" s="21">
        <f t="shared" si="64"/>
        <v>45887178</v>
      </c>
      <c r="L1311" s="550" t="s">
        <v>166</v>
      </c>
      <c r="M1311" s="550" t="s">
        <v>161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63"/>
    </row>
    <row r="1312" spans="1:26" ht="15.75" hidden="1" customHeight="1">
      <c r="A1312" s="120" t="str">
        <f>IF(B1312&lt;&gt;"",IF(AND(B1312&gt;=_TM1,B1312&lt;=_TM2,OR(TH!L1312="1111",TH!M1312="1111")),TH!D1312,""),"")</f>
        <v/>
      </c>
      <c r="B1312" s="568">
        <f t="shared" si="60"/>
        <v>12</v>
      </c>
      <c r="C1312" s="569">
        <f t="shared" si="65"/>
        <v>42708</v>
      </c>
      <c r="D1312" s="552" t="s">
        <v>1020</v>
      </c>
      <c r="E1312" s="589">
        <v>42708</v>
      </c>
      <c r="F1312" s="592" t="s">
        <v>826</v>
      </c>
      <c r="G1312" s="590" t="s">
        <v>824</v>
      </c>
      <c r="H1312" s="555" t="s">
        <v>1073</v>
      </c>
      <c r="I1312" s="131">
        <v>878</v>
      </c>
      <c r="J1312" s="131">
        <v>8978.2106525056934</v>
      </c>
      <c r="K1312" s="21">
        <f t="shared" si="64"/>
        <v>7882869</v>
      </c>
      <c r="L1312" s="550" t="s">
        <v>166</v>
      </c>
      <c r="M1312" s="550" t="s">
        <v>161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63"/>
    </row>
    <row r="1313" spans="1:26" ht="15.75" hidden="1" customHeight="1">
      <c r="A1313" s="120" t="str">
        <f>IF(B1313&lt;&gt;"",IF(AND(B1313&gt;=_TM1,B1313&lt;=_TM2,OR(TH!L1313="1111",TH!M1313="1111")),TH!D1313,""),"")</f>
        <v/>
      </c>
      <c r="B1313" s="568">
        <f t="shared" si="60"/>
        <v>12</v>
      </c>
      <c r="C1313" s="569">
        <f t="shared" si="65"/>
        <v>42709</v>
      </c>
      <c r="D1313" s="552" t="s">
        <v>1020</v>
      </c>
      <c r="E1313" s="589">
        <v>42709</v>
      </c>
      <c r="F1313" s="592" t="s">
        <v>811</v>
      </c>
      <c r="G1313" s="590" t="s">
        <v>827</v>
      </c>
      <c r="H1313" s="555" t="s">
        <v>1073</v>
      </c>
      <c r="I1313" s="131">
        <v>2400</v>
      </c>
      <c r="J1313" s="131">
        <v>6391.2686000887979</v>
      </c>
      <c r="K1313" s="21">
        <f t="shared" si="64"/>
        <v>15339045</v>
      </c>
      <c r="L1313" s="550" t="s">
        <v>166</v>
      </c>
      <c r="M1313" s="550" t="s">
        <v>161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63"/>
    </row>
    <row r="1314" spans="1:26" ht="15.75" hidden="1" customHeight="1">
      <c r="A1314" s="120" t="str">
        <f>IF(B1314&lt;&gt;"",IF(AND(B1314&gt;=_TM1,B1314&lt;=_TM2,OR(TH!L1314="1111",TH!M1314="1111")),TH!D1314,""),"")</f>
        <v/>
      </c>
      <c r="B1314" s="568">
        <f t="shared" si="60"/>
        <v>12</v>
      </c>
      <c r="C1314" s="569">
        <f t="shared" si="65"/>
        <v>42710</v>
      </c>
      <c r="D1314" s="552" t="s">
        <v>1020</v>
      </c>
      <c r="E1314" s="589">
        <v>42710</v>
      </c>
      <c r="F1314" s="592" t="s">
        <v>811</v>
      </c>
      <c r="G1314" s="590" t="s">
        <v>828</v>
      </c>
      <c r="H1314" s="555" t="s">
        <v>1073</v>
      </c>
      <c r="I1314" s="131">
        <v>2400</v>
      </c>
      <c r="J1314" s="131">
        <v>6391.2686000887979</v>
      </c>
      <c r="K1314" s="21">
        <f t="shared" si="64"/>
        <v>15339045</v>
      </c>
      <c r="L1314" s="550" t="s">
        <v>166</v>
      </c>
      <c r="M1314" s="550" t="s">
        <v>161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63"/>
    </row>
    <row r="1315" spans="1:26" ht="15.75" hidden="1" customHeight="1">
      <c r="A1315" s="120" t="str">
        <f>IF(B1315&lt;&gt;"",IF(AND(B1315&gt;=_TM1,B1315&lt;=_TM2,OR(TH!L1315="1111",TH!M1315="1111")),TH!D1315,""),"")</f>
        <v/>
      </c>
      <c r="B1315" s="568">
        <f t="shared" si="60"/>
        <v>12</v>
      </c>
      <c r="C1315" s="569">
        <f t="shared" si="65"/>
        <v>42713</v>
      </c>
      <c r="D1315" s="552" t="s">
        <v>1020</v>
      </c>
      <c r="E1315" s="589">
        <v>42713</v>
      </c>
      <c r="F1315" s="592" t="s">
        <v>831</v>
      </c>
      <c r="G1315" s="590" t="s">
        <v>830</v>
      </c>
      <c r="H1315" s="555" t="s">
        <v>1073</v>
      </c>
      <c r="I1315" s="131">
        <v>400</v>
      </c>
      <c r="J1315" s="131">
        <v>9282.5567763194449</v>
      </c>
      <c r="K1315" s="21">
        <f t="shared" si="64"/>
        <v>3713023</v>
      </c>
      <c r="L1315" s="550" t="s">
        <v>166</v>
      </c>
      <c r="M1315" s="550" t="s">
        <v>161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63"/>
    </row>
    <row r="1316" spans="1:26" ht="15.75" hidden="1" customHeight="1">
      <c r="A1316" s="120" t="str">
        <f>IF(B1316&lt;&gt;"",IF(AND(B1316&gt;=_TM1,B1316&lt;=_TM2,OR(TH!L1316="1111",TH!M1316="1111")),TH!D1316,""),"")</f>
        <v/>
      </c>
      <c r="B1316" s="568">
        <f t="shared" si="60"/>
        <v>12</v>
      </c>
      <c r="C1316" s="569">
        <f t="shared" si="65"/>
        <v>42713</v>
      </c>
      <c r="D1316" s="552" t="s">
        <v>1020</v>
      </c>
      <c r="E1316" s="589">
        <v>42713</v>
      </c>
      <c r="F1316" s="592" t="s">
        <v>832</v>
      </c>
      <c r="G1316" s="590" t="s">
        <v>830</v>
      </c>
      <c r="H1316" s="555" t="s">
        <v>1073</v>
      </c>
      <c r="I1316" s="131">
        <v>4000</v>
      </c>
      <c r="J1316" s="132">
        <v>1749.9902119290759</v>
      </c>
      <c r="K1316" s="21">
        <f t="shared" si="64"/>
        <v>6999961</v>
      </c>
      <c r="L1316" s="550" t="s">
        <v>166</v>
      </c>
      <c r="M1316" s="550" t="s">
        <v>161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63"/>
    </row>
    <row r="1317" spans="1:26" ht="15.75" hidden="1" customHeight="1">
      <c r="A1317" s="120" t="str">
        <f>IF(B1317&lt;&gt;"",IF(AND(B1317&gt;=_TM1,B1317&lt;=_TM2,OR(TH!L1317="1111",TH!M1317="1111")),TH!D1317,""),"")</f>
        <v/>
      </c>
      <c r="B1317" s="568">
        <f t="shared" si="60"/>
        <v>12</v>
      </c>
      <c r="C1317" s="569">
        <f t="shared" si="65"/>
        <v>42713</v>
      </c>
      <c r="D1317" s="552" t="s">
        <v>1020</v>
      </c>
      <c r="E1317" s="589">
        <v>42713</v>
      </c>
      <c r="F1317" s="592" t="s">
        <v>826</v>
      </c>
      <c r="G1317" s="590" t="s">
        <v>439</v>
      </c>
      <c r="H1317" s="555" t="s">
        <v>1073</v>
      </c>
      <c r="I1317" s="572">
        <v>5240</v>
      </c>
      <c r="J1317" s="572">
        <v>8978.2106525056934</v>
      </c>
      <c r="K1317" s="21">
        <f t="shared" si="64"/>
        <v>47045824</v>
      </c>
      <c r="L1317" s="550" t="s">
        <v>166</v>
      </c>
      <c r="M1317" s="550" t="s">
        <v>161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63"/>
    </row>
    <row r="1318" spans="1:26" ht="15.75" hidden="1" customHeight="1">
      <c r="A1318" s="120" t="str">
        <f>IF(B1318&lt;&gt;"",IF(AND(B1318&gt;=_TM1,B1318&lt;=_TM2,OR(TH!L1318="1111",TH!M1318="1111")),TH!D1318,""),"")</f>
        <v/>
      </c>
      <c r="B1318" s="568">
        <f t="shared" si="60"/>
        <v>12</v>
      </c>
      <c r="C1318" s="569">
        <f t="shared" si="65"/>
        <v>42713</v>
      </c>
      <c r="D1318" s="552" t="s">
        <v>1020</v>
      </c>
      <c r="E1318" s="589">
        <v>42713</v>
      </c>
      <c r="F1318" s="592" t="s">
        <v>835</v>
      </c>
      <c r="G1318" s="590" t="s">
        <v>834</v>
      </c>
      <c r="H1318" s="555" t="s">
        <v>1073</v>
      </c>
      <c r="I1318" s="131">
        <v>91</v>
      </c>
      <c r="J1318" s="131">
        <v>17119.469464523569</v>
      </c>
      <c r="K1318" s="21">
        <f t="shared" si="64"/>
        <v>1557872</v>
      </c>
      <c r="L1318" s="550" t="s">
        <v>166</v>
      </c>
      <c r="M1318" s="550" t="s">
        <v>161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63"/>
    </row>
    <row r="1319" spans="1:26" ht="15.75" hidden="1" customHeight="1">
      <c r="A1319" s="120" t="str">
        <f>IF(B1319&lt;&gt;"",IF(AND(B1319&gt;=_TM1,B1319&lt;=_TM2,OR(TH!L1319="1111",TH!M1319="1111")),TH!D1319,""),"")</f>
        <v/>
      </c>
      <c r="B1319" s="568">
        <f t="shared" si="60"/>
        <v>12</v>
      </c>
      <c r="C1319" s="569">
        <f t="shared" si="65"/>
        <v>42713</v>
      </c>
      <c r="D1319" s="552" t="s">
        <v>1020</v>
      </c>
      <c r="E1319" s="589">
        <v>42713</v>
      </c>
      <c r="F1319" s="592" t="s">
        <v>836</v>
      </c>
      <c r="G1319" s="590" t="s">
        <v>834</v>
      </c>
      <c r="H1319" s="555" t="s">
        <v>1073</v>
      </c>
      <c r="I1319" s="131">
        <v>300</v>
      </c>
      <c r="J1319" s="131">
        <v>6391.2686000887979</v>
      </c>
      <c r="K1319" s="21">
        <f t="shared" si="64"/>
        <v>1917381</v>
      </c>
      <c r="L1319" s="550" t="s">
        <v>166</v>
      </c>
      <c r="M1319" s="550" t="s">
        <v>161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63"/>
    </row>
    <row r="1320" spans="1:26" ht="15.75" hidden="1" customHeight="1">
      <c r="A1320" s="120" t="str">
        <f>IF(B1320&lt;&gt;"",IF(AND(B1320&gt;=_TM1,B1320&lt;=_TM2,OR(TH!L1320="1111",TH!M1320="1111")),TH!D1320,""),"")</f>
        <v/>
      </c>
      <c r="B1320" s="568">
        <f t="shared" si="60"/>
        <v>12</v>
      </c>
      <c r="C1320" s="569">
        <f t="shared" si="65"/>
        <v>42713</v>
      </c>
      <c r="D1320" s="552" t="s">
        <v>1020</v>
      </c>
      <c r="E1320" s="589">
        <v>42713</v>
      </c>
      <c r="F1320" s="592" t="s">
        <v>811</v>
      </c>
      <c r="G1320" s="590" t="s">
        <v>837</v>
      </c>
      <c r="H1320" s="555" t="s">
        <v>1073</v>
      </c>
      <c r="I1320" s="131">
        <v>2400</v>
      </c>
      <c r="J1320" s="131">
        <v>6391.2686000887979</v>
      </c>
      <c r="K1320" s="21">
        <f t="shared" si="64"/>
        <v>15339045</v>
      </c>
      <c r="L1320" s="550" t="s">
        <v>166</v>
      </c>
      <c r="M1320" s="550" t="s">
        <v>161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63"/>
    </row>
    <row r="1321" spans="1:26" ht="15.75" hidden="1" customHeight="1">
      <c r="A1321" s="120" t="str">
        <f>IF(B1321&lt;&gt;"",IF(AND(B1321&gt;=_TM1,B1321&lt;=_TM2,OR(TH!L1321="1111",TH!M1321="1111")),TH!D1321,""),"")</f>
        <v/>
      </c>
      <c r="B1321" s="568">
        <f t="shared" si="60"/>
        <v>12</v>
      </c>
      <c r="C1321" s="569">
        <f t="shared" si="65"/>
        <v>42714</v>
      </c>
      <c r="D1321" s="552" t="s">
        <v>1020</v>
      </c>
      <c r="E1321" s="589">
        <v>42714</v>
      </c>
      <c r="F1321" s="592" t="s">
        <v>811</v>
      </c>
      <c r="G1321" s="590" t="s">
        <v>838</v>
      </c>
      <c r="H1321" s="555" t="s">
        <v>1073</v>
      </c>
      <c r="I1321" s="572">
        <v>2400</v>
      </c>
      <c r="J1321" s="572">
        <v>6391.2686000887979</v>
      </c>
      <c r="K1321" s="21">
        <f t="shared" si="64"/>
        <v>15339045</v>
      </c>
      <c r="L1321" s="550" t="s">
        <v>166</v>
      </c>
      <c r="M1321" s="550" t="s">
        <v>161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63"/>
    </row>
    <row r="1322" spans="1:26" ht="15.75" hidden="1" customHeight="1">
      <c r="A1322" s="120" t="str">
        <f>IF(B1322&lt;&gt;"",IF(AND(B1322&gt;=_TM1,B1322&lt;=_TM2,OR(TH!L1322="1111",TH!M1322="1111")),TH!D1322,""),"")</f>
        <v/>
      </c>
      <c r="B1322" s="568">
        <f t="shared" si="60"/>
        <v>12</v>
      </c>
      <c r="C1322" s="569">
        <f t="shared" si="65"/>
        <v>42715</v>
      </c>
      <c r="D1322" s="552" t="s">
        <v>1020</v>
      </c>
      <c r="E1322" s="589">
        <v>42715</v>
      </c>
      <c r="F1322" s="592" t="s">
        <v>811</v>
      </c>
      <c r="G1322" s="590" t="s">
        <v>839</v>
      </c>
      <c r="H1322" s="555" t="s">
        <v>1073</v>
      </c>
      <c r="I1322" s="572">
        <v>2400</v>
      </c>
      <c r="J1322" s="572">
        <v>6391.2686000887979</v>
      </c>
      <c r="K1322" s="21">
        <f t="shared" si="64"/>
        <v>15339045</v>
      </c>
      <c r="L1322" s="550" t="s">
        <v>166</v>
      </c>
      <c r="M1322" s="550" t="s">
        <v>161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63"/>
    </row>
    <row r="1323" spans="1:26" ht="15.75" hidden="1" customHeight="1">
      <c r="A1323" s="120" t="str">
        <f>IF(B1323&lt;&gt;"",IF(AND(B1323&gt;=_TM1,B1323&lt;=_TM2,OR(TH!L1323="1111",TH!M1323="1111")),TH!D1323,""),"")</f>
        <v/>
      </c>
      <c r="B1323" s="568">
        <f t="shared" si="60"/>
        <v>12</v>
      </c>
      <c r="C1323" s="569">
        <f t="shared" si="65"/>
        <v>42716</v>
      </c>
      <c r="D1323" s="552" t="s">
        <v>1020</v>
      </c>
      <c r="E1323" s="589">
        <v>42716</v>
      </c>
      <c r="F1323" s="592" t="s">
        <v>811</v>
      </c>
      <c r="G1323" s="590" t="s">
        <v>840</v>
      </c>
      <c r="H1323" s="555" t="s">
        <v>1073</v>
      </c>
      <c r="I1323" s="131">
        <v>2400</v>
      </c>
      <c r="J1323" s="132">
        <v>6391.2686000887979</v>
      </c>
      <c r="K1323" s="21">
        <f t="shared" si="64"/>
        <v>15339045</v>
      </c>
      <c r="L1323" s="550" t="s">
        <v>166</v>
      </c>
      <c r="M1323" s="550" t="s">
        <v>161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63"/>
    </row>
    <row r="1324" spans="1:26" ht="15.75" hidden="1" customHeight="1">
      <c r="A1324" s="120" t="str">
        <f>IF(B1324&lt;&gt;"",IF(AND(B1324&gt;=_TM1,B1324&lt;=_TM2,OR(TH!L1324="1111",TH!M1324="1111")),TH!D1324,""),"")</f>
        <v/>
      </c>
      <c r="B1324" s="568">
        <f t="shared" si="60"/>
        <v>12</v>
      </c>
      <c r="C1324" s="569">
        <f t="shared" si="65"/>
        <v>42716</v>
      </c>
      <c r="D1324" s="552" t="s">
        <v>1020</v>
      </c>
      <c r="E1324" s="589">
        <v>42716</v>
      </c>
      <c r="F1324" s="592" t="s">
        <v>662</v>
      </c>
      <c r="G1324" s="590" t="s">
        <v>880</v>
      </c>
      <c r="H1324" s="555" t="s">
        <v>1073</v>
      </c>
      <c r="I1324" s="131">
        <v>332</v>
      </c>
      <c r="J1324" s="132">
        <v>7152.1339096231786</v>
      </c>
      <c r="K1324" s="21">
        <f t="shared" si="64"/>
        <v>2374508</v>
      </c>
      <c r="L1324" s="550" t="s">
        <v>166</v>
      </c>
      <c r="M1324" s="550" t="s">
        <v>161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63"/>
    </row>
    <row r="1325" spans="1:26" ht="15.75" hidden="1" customHeight="1">
      <c r="A1325" s="120" t="str">
        <f>IF(B1325&lt;&gt;"",IF(AND(B1325&gt;=_TM1,B1325&lt;=_TM2,OR(TH!L1325="1111",TH!M1325="1111")),TH!D1325,""),"")</f>
        <v/>
      </c>
      <c r="B1325" s="568">
        <f t="shared" si="60"/>
        <v>12</v>
      </c>
      <c r="C1325" s="569">
        <f t="shared" si="65"/>
        <v>42716</v>
      </c>
      <c r="D1325" s="552" t="s">
        <v>1020</v>
      </c>
      <c r="E1325" s="589">
        <v>42716</v>
      </c>
      <c r="F1325" s="592" t="s">
        <v>509</v>
      </c>
      <c r="G1325" s="590" t="s">
        <v>880</v>
      </c>
      <c r="H1325" s="555" t="s">
        <v>1073</v>
      </c>
      <c r="I1325" s="131">
        <v>104</v>
      </c>
      <c r="J1325" s="132">
        <v>10195.595147760703</v>
      </c>
      <c r="K1325" s="21">
        <f t="shared" ref="K1325:K1392" si="66">ROUND(I1325*J1325,0)</f>
        <v>1060342</v>
      </c>
      <c r="L1325" s="550" t="s">
        <v>166</v>
      </c>
      <c r="M1325" s="550" t="s">
        <v>161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63"/>
    </row>
    <row r="1326" spans="1:26" ht="15.75" hidden="1" customHeight="1">
      <c r="A1326" s="120" t="str">
        <f>IF(B1326&lt;&gt;"",IF(AND(B1326&gt;=_TM1,B1326&lt;=_TM2,OR(TH!L1326="1111",TH!M1326="1111")),TH!D1326,""),"")</f>
        <v/>
      </c>
      <c r="B1326" s="568">
        <f t="shared" si="60"/>
        <v>12</v>
      </c>
      <c r="C1326" s="569">
        <f t="shared" si="65"/>
        <v>42717</v>
      </c>
      <c r="D1326" s="552" t="s">
        <v>1020</v>
      </c>
      <c r="E1326" s="589">
        <v>42717</v>
      </c>
      <c r="F1326" s="592" t="s">
        <v>527</v>
      </c>
      <c r="G1326" s="590" t="s">
        <v>881</v>
      </c>
      <c r="H1326" s="555" t="s">
        <v>1073</v>
      </c>
      <c r="I1326" s="131">
        <v>60</v>
      </c>
      <c r="J1326" s="132">
        <v>55162.734941242605</v>
      </c>
      <c r="K1326" s="21">
        <f t="shared" si="66"/>
        <v>3309764</v>
      </c>
      <c r="L1326" s="550" t="s">
        <v>166</v>
      </c>
      <c r="M1326" s="550" t="s">
        <v>161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63"/>
    </row>
    <row r="1327" spans="1:26" ht="15.75" hidden="1" customHeight="1">
      <c r="A1327" s="120" t="str">
        <f>IF(B1327&lt;&gt;"",IF(AND(B1327&gt;=_TM1,B1327&lt;=_TM2,OR(TH!L1327="1111",TH!M1327="1111")),TH!D1327,""),"")</f>
        <v/>
      </c>
      <c r="B1327" s="568">
        <f t="shared" ref="B1327:B1336" si="67">IF(C1327&lt;&gt;"",MONTH(C1327),"")</f>
        <v>12</v>
      </c>
      <c r="C1327" s="569">
        <f t="shared" si="65"/>
        <v>42717</v>
      </c>
      <c r="D1327" s="552" t="s">
        <v>1020</v>
      </c>
      <c r="E1327" s="589">
        <v>42717</v>
      </c>
      <c r="F1327" s="592" t="s">
        <v>664</v>
      </c>
      <c r="G1327" s="590" t="s">
        <v>881</v>
      </c>
      <c r="H1327" s="555" t="s">
        <v>1073</v>
      </c>
      <c r="I1327" s="572">
        <v>22</v>
      </c>
      <c r="J1327" s="132">
        <v>64369.205186608619</v>
      </c>
      <c r="K1327" s="21">
        <f t="shared" si="66"/>
        <v>1416123</v>
      </c>
      <c r="L1327" s="550" t="s">
        <v>166</v>
      </c>
      <c r="M1327" s="550" t="s">
        <v>161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63"/>
    </row>
    <row r="1328" spans="1:26" ht="15.75" hidden="1" customHeight="1">
      <c r="A1328" s="120" t="str">
        <f>IF(B1328&lt;&gt;"",IF(AND(B1328&gt;=_TM1,B1328&lt;=_TM2,OR(TH!L1328="1111",TH!M1328="1111")),TH!D1328,""),"")</f>
        <v/>
      </c>
      <c r="B1328" s="568">
        <f t="shared" si="67"/>
        <v>12</v>
      </c>
      <c r="C1328" s="569">
        <f t="shared" si="65"/>
        <v>42719</v>
      </c>
      <c r="D1328" s="552" t="s">
        <v>1020</v>
      </c>
      <c r="E1328" s="589">
        <v>42719</v>
      </c>
      <c r="F1328" s="592" t="s">
        <v>842</v>
      </c>
      <c r="G1328" s="590" t="s">
        <v>841</v>
      </c>
      <c r="H1328" s="555" t="s">
        <v>1073</v>
      </c>
      <c r="I1328" s="572">
        <v>103</v>
      </c>
      <c r="J1328" s="132">
        <v>12021.671890643216</v>
      </c>
      <c r="K1328" s="21">
        <f t="shared" si="66"/>
        <v>1238232</v>
      </c>
      <c r="L1328" s="550" t="s">
        <v>166</v>
      </c>
      <c r="M1328" s="550" t="s">
        <v>161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63"/>
    </row>
    <row r="1329" spans="1:26" ht="15.75" hidden="1" customHeight="1">
      <c r="A1329" s="120" t="str">
        <f>IF(B1329&lt;&gt;"",IF(AND(B1329&gt;=_TM1,B1329&lt;=_TM2,OR(TH!L1329="1111",TH!M1329="1111")),TH!D1329,""),"")</f>
        <v/>
      </c>
      <c r="B1329" s="568">
        <f t="shared" si="67"/>
        <v>12</v>
      </c>
      <c r="C1329" s="569">
        <f t="shared" ref="C1329:C1392" si="68">E1329</f>
        <v>42719</v>
      </c>
      <c r="D1329" s="552" t="s">
        <v>1020</v>
      </c>
      <c r="E1329" s="589">
        <v>42719</v>
      </c>
      <c r="F1329" s="592" t="s">
        <v>843</v>
      </c>
      <c r="G1329" s="590" t="s">
        <v>841</v>
      </c>
      <c r="H1329" s="555" t="s">
        <v>1073</v>
      </c>
      <c r="I1329" s="131">
        <v>273</v>
      </c>
      <c r="J1329" s="132">
        <v>18260.767428825136</v>
      </c>
      <c r="K1329" s="21">
        <f t="shared" si="66"/>
        <v>4985190</v>
      </c>
      <c r="L1329" s="550" t="s">
        <v>166</v>
      </c>
      <c r="M1329" s="550" t="s">
        <v>161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63"/>
    </row>
    <row r="1330" spans="1:26" ht="15.75" hidden="1" customHeight="1">
      <c r="A1330" s="120" t="str">
        <f>IF(B1330&lt;&gt;"",IF(AND(B1330&gt;=_TM1,B1330&lt;=_TM2,OR(TH!L1330="1111",TH!M1330="1111")),TH!D1330,""),"")</f>
        <v/>
      </c>
      <c r="B1330" s="568">
        <f t="shared" si="67"/>
        <v>12</v>
      </c>
      <c r="C1330" s="569">
        <f t="shared" si="68"/>
        <v>42719</v>
      </c>
      <c r="D1330" s="552" t="s">
        <v>1020</v>
      </c>
      <c r="E1330" s="589">
        <v>42719</v>
      </c>
      <c r="F1330" s="592" t="s">
        <v>811</v>
      </c>
      <c r="G1330" s="590" t="s">
        <v>882</v>
      </c>
      <c r="H1330" s="555" t="s">
        <v>1073</v>
      </c>
      <c r="I1330" s="132">
        <v>2400</v>
      </c>
      <c r="J1330" s="132">
        <v>6391.2686000887979</v>
      </c>
      <c r="K1330" s="21">
        <f t="shared" si="66"/>
        <v>15339045</v>
      </c>
      <c r="L1330" s="550" t="s">
        <v>166</v>
      </c>
      <c r="M1330" s="550" t="s">
        <v>161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63"/>
    </row>
    <row r="1331" spans="1:26" ht="15.75" hidden="1" customHeight="1">
      <c r="A1331" s="120" t="str">
        <f>IF(B1331&lt;&gt;"",IF(AND(B1331&gt;=_TM1,B1331&lt;=_TM2,OR(TH!L1331="1111",TH!M1331="1111")),TH!D1331,""),"")</f>
        <v/>
      </c>
      <c r="B1331" s="568">
        <f t="shared" si="67"/>
        <v>12</v>
      </c>
      <c r="C1331" s="569">
        <f t="shared" si="68"/>
        <v>42720</v>
      </c>
      <c r="D1331" s="552" t="s">
        <v>1020</v>
      </c>
      <c r="E1331" s="589">
        <v>42720</v>
      </c>
      <c r="F1331" s="592" t="s">
        <v>811</v>
      </c>
      <c r="G1331" s="590" t="s">
        <v>883</v>
      </c>
      <c r="H1331" s="555" t="s">
        <v>1073</v>
      </c>
      <c r="I1331" s="131">
        <v>2400</v>
      </c>
      <c r="J1331" s="132">
        <v>6391.2686000887979</v>
      </c>
      <c r="K1331" s="21">
        <f t="shared" si="66"/>
        <v>15339045</v>
      </c>
      <c r="L1331" s="550" t="s">
        <v>166</v>
      </c>
      <c r="M1331" s="550" t="s">
        <v>161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63"/>
    </row>
    <row r="1332" spans="1:26" ht="15.75" hidden="1" customHeight="1">
      <c r="A1332" s="120" t="str">
        <f>IF(B1332&lt;&gt;"",IF(AND(B1332&gt;=_TM1,B1332&lt;=_TM2,OR(TH!L1332="1111",TH!M1332="1111")),TH!D1332,""),"")</f>
        <v/>
      </c>
      <c r="B1332" s="568">
        <f t="shared" si="67"/>
        <v>12</v>
      </c>
      <c r="C1332" s="569">
        <f t="shared" si="68"/>
        <v>42721</v>
      </c>
      <c r="D1332" s="552" t="s">
        <v>1020</v>
      </c>
      <c r="E1332" s="589">
        <v>42721</v>
      </c>
      <c r="F1332" s="592" t="s">
        <v>846</v>
      </c>
      <c r="G1332" s="590" t="s">
        <v>845</v>
      </c>
      <c r="H1332" s="555" t="s">
        <v>1073</v>
      </c>
      <c r="I1332" s="131">
        <v>205</v>
      </c>
      <c r="J1332" s="132">
        <v>5173.8841048337899</v>
      </c>
      <c r="K1332" s="21">
        <f t="shared" si="66"/>
        <v>1060646</v>
      </c>
      <c r="L1332" s="550" t="s">
        <v>166</v>
      </c>
      <c r="M1332" s="550" t="s">
        <v>161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63"/>
    </row>
    <row r="1333" spans="1:26" ht="15.75" hidden="1" customHeight="1">
      <c r="A1333" s="120" t="str">
        <f>IF(B1333&lt;&gt;"",IF(AND(B1333&gt;=_TM1,B1333&lt;=_TM2,OR(TH!L1333="1111",TH!M1333="1111")),TH!D1333,""),"")</f>
        <v/>
      </c>
      <c r="B1333" s="568">
        <f t="shared" si="67"/>
        <v>12</v>
      </c>
      <c r="C1333" s="569">
        <f t="shared" si="68"/>
        <v>42721</v>
      </c>
      <c r="D1333" s="552" t="s">
        <v>1020</v>
      </c>
      <c r="E1333" s="589">
        <v>42721</v>
      </c>
      <c r="F1333" s="592" t="s">
        <v>847</v>
      </c>
      <c r="G1333" s="590" t="s">
        <v>845</v>
      </c>
      <c r="H1333" s="555" t="s">
        <v>1073</v>
      </c>
      <c r="I1333" s="131">
        <v>1160</v>
      </c>
      <c r="J1333" s="132">
        <v>6695.6147239025513</v>
      </c>
      <c r="K1333" s="21">
        <f t="shared" si="66"/>
        <v>7766913</v>
      </c>
      <c r="L1333" s="550" t="s">
        <v>166</v>
      </c>
      <c r="M1333" s="550" t="s">
        <v>161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63"/>
    </row>
    <row r="1334" spans="1:26" ht="15.75" hidden="1" customHeight="1">
      <c r="A1334" s="120" t="str">
        <f>IF(B1334&lt;&gt;"",IF(AND(B1334&gt;=_TM1,B1334&lt;=_TM2,OR(TH!L1334="1111",TH!M1334="1111")),TH!D1334,""),"")</f>
        <v/>
      </c>
      <c r="B1334" s="568">
        <f t="shared" si="67"/>
        <v>12</v>
      </c>
      <c r="C1334" s="569">
        <f t="shared" si="68"/>
        <v>42721</v>
      </c>
      <c r="D1334" s="552" t="s">
        <v>1020</v>
      </c>
      <c r="E1334" s="589">
        <v>42721</v>
      </c>
      <c r="F1334" s="592" t="s">
        <v>849</v>
      </c>
      <c r="G1334" s="590" t="s">
        <v>848</v>
      </c>
      <c r="H1334" s="555" t="s">
        <v>1073</v>
      </c>
      <c r="I1334" s="572">
        <v>292</v>
      </c>
      <c r="J1334" s="572">
        <v>6695.6147239025513</v>
      </c>
      <c r="K1334" s="21">
        <f t="shared" si="66"/>
        <v>1955119</v>
      </c>
      <c r="L1334" s="550" t="s">
        <v>166</v>
      </c>
      <c r="M1334" s="550" t="s">
        <v>161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63"/>
    </row>
    <row r="1335" spans="1:26" ht="15.75" hidden="1" customHeight="1">
      <c r="A1335" s="120" t="str">
        <f>IF(B1335&lt;&gt;"",IF(AND(B1335&gt;=_TM1,B1335&lt;=_TM2,OR(TH!L1335="1111",TH!M1335="1111")),TH!D1335,""),"")</f>
        <v/>
      </c>
      <c r="B1335" s="568">
        <f t="shared" si="67"/>
        <v>12</v>
      </c>
      <c r="C1335" s="569">
        <f t="shared" si="68"/>
        <v>42721</v>
      </c>
      <c r="D1335" s="552" t="s">
        <v>1020</v>
      </c>
      <c r="E1335" s="589">
        <v>42721</v>
      </c>
      <c r="F1335" s="592" t="s">
        <v>850</v>
      </c>
      <c r="G1335" s="590" t="s">
        <v>848</v>
      </c>
      <c r="H1335" s="555" t="s">
        <v>1073</v>
      </c>
      <c r="I1335" s="572">
        <v>180</v>
      </c>
      <c r="J1335" s="572">
        <v>5630.4032905544173</v>
      </c>
      <c r="K1335" s="21">
        <f t="shared" si="66"/>
        <v>1013473</v>
      </c>
      <c r="L1335" s="550" t="s">
        <v>166</v>
      </c>
      <c r="M1335" s="550" t="s">
        <v>161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63"/>
    </row>
    <row r="1336" spans="1:26" ht="15.75" hidden="1" customHeight="1">
      <c r="A1336" s="120" t="str">
        <f>IF(B1336&lt;&gt;"",IF(AND(B1336&gt;=_TM1,B1336&lt;=_TM2,OR(TH!L1336="1111",TH!M1336="1111")),TH!D1336,""),"")</f>
        <v/>
      </c>
      <c r="B1336" s="568">
        <f t="shared" si="67"/>
        <v>12</v>
      </c>
      <c r="C1336" s="569">
        <f t="shared" si="68"/>
        <v>42721</v>
      </c>
      <c r="D1336" s="552" t="s">
        <v>1020</v>
      </c>
      <c r="E1336" s="589">
        <v>42721</v>
      </c>
      <c r="F1336" s="592" t="s">
        <v>851</v>
      </c>
      <c r="G1336" s="590" t="s">
        <v>848</v>
      </c>
      <c r="H1336" s="555" t="s">
        <v>1073</v>
      </c>
      <c r="I1336" s="572">
        <v>50</v>
      </c>
      <c r="J1336" s="572">
        <v>4565.1918572062841</v>
      </c>
      <c r="K1336" s="21">
        <f t="shared" si="66"/>
        <v>228260</v>
      </c>
      <c r="L1336" s="550" t="s">
        <v>166</v>
      </c>
      <c r="M1336" s="550" t="s">
        <v>161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63"/>
    </row>
    <row r="1337" spans="1:26" ht="15.75" hidden="1" customHeight="1">
      <c r="A1337" s="120" t="str">
        <f>IF(B1337&lt;&gt;"",IF(AND(B1337&gt;=_TM1,B1337&lt;=_TM2,OR(TH!L1337="1111",TH!M1337="1111")),TH!D1337,""),"")</f>
        <v/>
      </c>
      <c r="B1337" s="568">
        <f t="shared" ref="B1337:B1392" si="69">IF(C1337&lt;&gt;"",MONTH(C1337),"")</f>
        <v>12</v>
      </c>
      <c r="C1337" s="569">
        <f t="shared" si="68"/>
        <v>42721</v>
      </c>
      <c r="D1337" s="552" t="s">
        <v>1020</v>
      </c>
      <c r="E1337" s="589">
        <v>42721</v>
      </c>
      <c r="F1337" s="592" t="s">
        <v>852</v>
      </c>
      <c r="G1337" s="590" t="s">
        <v>848</v>
      </c>
      <c r="H1337" s="555" t="s">
        <v>1073</v>
      </c>
      <c r="I1337" s="572">
        <v>554</v>
      </c>
      <c r="J1337" s="572">
        <v>8978.2106525056934</v>
      </c>
      <c r="K1337" s="21">
        <f t="shared" si="66"/>
        <v>4973929</v>
      </c>
      <c r="L1337" s="550" t="s">
        <v>166</v>
      </c>
      <c r="M1337" s="550" t="s">
        <v>161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63"/>
    </row>
    <row r="1338" spans="1:26" ht="15.75" hidden="1" customHeight="1">
      <c r="A1338" s="120" t="str">
        <f>IF(B1338&lt;&gt;"",IF(AND(B1338&gt;=_TM1,B1338&lt;=_TM2,OR(TH!L1338="1111",TH!M1338="1111")),TH!D1338,""),"")</f>
        <v/>
      </c>
      <c r="B1338" s="568">
        <f t="shared" si="69"/>
        <v>12</v>
      </c>
      <c r="C1338" s="569">
        <f t="shared" si="68"/>
        <v>42721</v>
      </c>
      <c r="D1338" s="552" t="s">
        <v>1020</v>
      </c>
      <c r="E1338" s="589">
        <v>42721</v>
      </c>
      <c r="F1338" s="592" t="s">
        <v>855</v>
      </c>
      <c r="G1338" s="590" t="s">
        <v>853</v>
      </c>
      <c r="H1338" s="555" t="s">
        <v>1073</v>
      </c>
      <c r="I1338" s="131">
        <v>584</v>
      </c>
      <c r="J1338" s="131">
        <v>684.77877858094269</v>
      </c>
      <c r="K1338" s="21">
        <f t="shared" si="66"/>
        <v>399911</v>
      </c>
      <c r="L1338" s="550" t="s">
        <v>166</v>
      </c>
      <c r="M1338" s="550" t="s">
        <v>161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63"/>
    </row>
    <row r="1339" spans="1:26" ht="15.75" hidden="1" customHeight="1">
      <c r="A1339" s="120" t="str">
        <f>IF(B1339&lt;&gt;"",IF(AND(B1339&gt;=_TM1,B1339&lt;=_TM2,OR(TH!L1339="1111",TH!M1339="1111")),TH!D1339,""),"")</f>
        <v/>
      </c>
      <c r="B1339" s="568">
        <f t="shared" si="69"/>
        <v>12</v>
      </c>
      <c r="C1339" s="569">
        <f t="shared" si="68"/>
        <v>42721</v>
      </c>
      <c r="D1339" s="552" t="s">
        <v>1020</v>
      </c>
      <c r="E1339" s="589">
        <v>42721</v>
      </c>
      <c r="F1339" s="592" t="s">
        <v>856</v>
      </c>
      <c r="G1339" s="590" t="s">
        <v>853</v>
      </c>
      <c r="H1339" s="555" t="s">
        <v>1073</v>
      </c>
      <c r="I1339" s="131">
        <v>360</v>
      </c>
      <c r="J1339" s="131">
        <v>608.69224762750468</v>
      </c>
      <c r="K1339" s="21">
        <f t="shared" si="66"/>
        <v>219129</v>
      </c>
      <c r="L1339" s="550" t="s">
        <v>166</v>
      </c>
      <c r="M1339" s="550" t="s">
        <v>161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63"/>
    </row>
    <row r="1340" spans="1:26" ht="15.75" hidden="1" customHeight="1">
      <c r="A1340" s="120" t="str">
        <f>IF(B1340&lt;&gt;"",IF(AND(B1340&gt;=_TM1,B1340&lt;=_TM2,OR(TH!L1340="1111",TH!M1340="1111")),TH!D1340,""),"")</f>
        <v/>
      </c>
      <c r="B1340" s="568">
        <f t="shared" si="69"/>
        <v>12</v>
      </c>
      <c r="C1340" s="569">
        <f t="shared" si="68"/>
        <v>42721</v>
      </c>
      <c r="D1340" s="552" t="s">
        <v>1020</v>
      </c>
      <c r="E1340" s="589">
        <v>42721</v>
      </c>
      <c r="F1340" s="592" t="s">
        <v>857</v>
      </c>
      <c r="G1340" s="590" t="s">
        <v>853</v>
      </c>
      <c r="H1340" s="555" t="s">
        <v>1073</v>
      </c>
      <c r="I1340" s="131">
        <v>100</v>
      </c>
      <c r="J1340" s="131">
        <v>456.51918572062846</v>
      </c>
      <c r="K1340" s="21">
        <f t="shared" si="66"/>
        <v>45652</v>
      </c>
      <c r="L1340" s="550" t="s">
        <v>166</v>
      </c>
      <c r="M1340" s="550" t="s">
        <v>161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63"/>
    </row>
    <row r="1341" spans="1:26" ht="15.75" hidden="1" customHeight="1">
      <c r="A1341" s="120" t="str">
        <f>IF(B1341&lt;&gt;"",IF(AND(B1341&gt;=_TM1,B1341&lt;=_TM2,OR(TH!L1341="1111",TH!M1341="1111")),TH!D1341,""),"")</f>
        <v/>
      </c>
      <c r="B1341" s="568">
        <f t="shared" si="69"/>
        <v>12</v>
      </c>
      <c r="C1341" s="569">
        <f t="shared" si="68"/>
        <v>42721</v>
      </c>
      <c r="D1341" s="552" t="s">
        <v>1020</v>
      </c>
      <c r="E1341" s="589">
        <v>42721</v>
      </c>
      <c r="F1341" s="592" t="s">
        <v>858</v>
      </c>
      <c r="G1341" s="590" t="s">
        <v>853</v>
      </c>
      <c r="H1341" s="555" t="s">
        <v>1073</v>
      </c>
      <c r="I1341" s="131">
        <v>1108</v>
      </c>
      <c r="J1341" s="131">
        <v>989.12490239469503</v>
      </c>
      <c r="K1341" s="21">
        <f t="shared" si="66"/>
        <v>1095950</v>
      </c>
      <c r="L1341" s="550" t="s">
        <v>166</v>
      </c>
      <c r="M1341" s="550" t="s">
        <v>161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63"/>
    </row>
    <row r="1342" spans="1:26" ht="15.75" hidden="1" customHeight="1">
      <c r="A1342" s="120" t="str">
        <f>IF(B1342&lt;&gt;"",IF(AND(B1342&gt;=_TM1,B1342&lt;=_TM2,OR(TH!L1342="1111",TH!M1342="1111")),TH!D1342,""),"")</f>
        <v/>
      </c>
      <c r="B1342" s="568">
        <f t="shared" si="69"/>
        <v>12</v>
      </c>
      <c r="C1342" s="569">
        <f t="shared" si="68"/>
        <v>42721</v>
      </c>
      <c r="D1342" s="552" t="s">
        <v>1020</v>
      </c>
      <c r="E1342" s="589">
        <v>42721</v>
      </c>
      <c r="F1342" s="592" t="s">
        <v>811</v>
      </c>
      <c r="G1342" s="590" t="s">
        <v>884</v>
      </c>
      <c r="H1342" s="555" t="s">
        <v>1073</v>
      </c>
      <c r="I1342" s="131">
        <v>2400</v>
      </c>
      <c r="J1342" s="131">
        <v>6391.2686000887979</v>
      </c>
      <c r="K1342" s="21">
        <f t="shared" si="66"/>
        <v>15339045</v>
      </c>
      <c r="L1342" s="550" t="s">
        <v>166</v>
      </c>
      <c r="M1342" s="550" t="s">
        <v>161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63"/>
    </row>
    <row r="1343" spans="1:26" ht="15.75" hidden="1" customHeight="1">
      <c r="A1343" s="120" t="str">
        <f>IF(B1343&lt;&gt;"",IF(AND(B1343&gt;=_TM1,B1343&lt;=_TM2,OR(TH!L1343="1111",TH!M1343="1111")),TH!D1343,""),"")</f>
        <v/>
      </c>
      <c r="B1343" s="568">
        <f t="shared" si="69"/>
        <v>12</v>
      </c>
      <c r="C1343" s="569">
        <f t="shared" si="68"/>
        <v>42722</v>
      </c>
      <c r="D1343" s="552" t="s">
        <v>1020</v>
      </c>
      <c r="E1343" s="589">
        <v>42722</v>
      </c>
      <c r="F1343" s="592" t="s">
        <v>811</v>
      </c>
      <c r="G1343" s="590" t="s">
        <v>885</v>
      </c>
      <c r="H1343" s="555" t="s">
        <v>1073</v>
      </c>
      <c r="I1343" s="131">
        <v>2400</v>
      </c>
      <c r="J1343" s="131">
        <v>6391.2686000887979</v>
      </c>
      <c r="K1343" s="21">
        <f t="shared" si="66"/>
        <v>15339045</v>
      </c>
      <c r="L1343" s="550" t="s">
        <v>166</v>
      </c>
      <c r="M1343" s="550" t="s">
        <v>161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63"/>
    </row>
    <row r="1344" spans="1:26" ht="15.75" hidden="1" customHeight="1">
      <c r="A1344" s="120" t="str">
        <f>IF(B1344&lt;&gt;"",IF(AND(B1344&gt;=_TM1,B1344&lt;=_TM2,OR(TH!L1344="1111",TH!M1344="1111")),TH!D1344,""),"")</f>
        <v/>
      </c>
      <c r="B1344" s="568">
        <f t="shared" si="69"/>
        <v>12</v>
      </c>
      <c r="C1344" s="569">
        <f t="shared" si="68"/>
        <v>42723</v>
      </c>
      <c r="D1344" s="552" t="s">
        <v>1020</v>
      </c>
      <c r="E1344" s="589">
        <v>42723</v>
      </c>
      <c r="F1344" s="592" t="s">
        <v>811</v>
      </c>
      <c r="G1344" s="590" t="s">
        <v>886</v>
      </c>
      <c r="H1344" s="555" t="s">
        <v>1073</v>
      </c>
      <c r="I1344" s="131">
        <v>2400</v>
      </c>
      <c r="J1344" s="131">
        <v>6391.2686000887979</v>
      </c>
      <c r="K1344" s="21">
        <f t="shared" si="66"/>
        <v>15339045</v>
      </c>
      <c r="L1344" s="550" t="s">
        <v>166</v>
      </c>
      <c r="M1344" s="550" t="s">
        <v>161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63"/>
    </row>
    <row r="1345" spans="1:26" ht="15.75" hidden="1" customHeight="1">
      <c r="A1345" s="120" t="str">
        <f>IF(B1345&lt;&gt;"",IF(AND(B1345&gt;=_TM1,B1345&lt;=_TM2,OR(TH!L1345="1111",TH!M1345="1111")),TH!D1345,""),"")</f>
        <v/>
      </c>
      <c r="B1345" s="568">
        <f t="shared" si="69"/>
        <v>12</v>
      </c>
      <c r="C1345" s="569">
        <f t="shared" si="68"/>
        <v>42724</v>
      </c>
      <c r="D1345" s="552" t="s">
        <v>1020</v>
      </c>
      <c r="E1345" s="589">
        <v>42724</v>
      </c>
      <c r="F1345" s="592" t="s">
        <v>689</v>
      </c>
      <c r="G1345" s="590" t="s">
        <v>887</v>
      </c>
      <c r="H1345" s="555" t="s">
        <v>1073</v>
      </c>
      <c r="I1345" s="131">
        <v>872</v>
      </c>
      <c r="J1345" s="131">
        <v>5173.8841048337899</v>
      </c>
      <c r="K1345" s="21">
        <f t="shared" si="66"/>
        <v>4511627</v>
      </c>
      <c r="L1345" s="550" t="s">
        <v>166</v>
      </c>
      <c r="M1345" s="550" t="s">
        <v>161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63"/>
    </row>
    <row r="1346" spans="1:26" ht="15.75" hidden="1" customHeight="1">
      <c r="A1346" s="120" t="str">
        <f>IF(B1346&lt;&gt;"",IF(AND(B1346&gt;=_TM1,B1346&lt;=_TM2,OR(TH!L1346="1111",TH!M1346="1111")),TH!D1346,""),"")</f>
        <v/>
      </c>
      <c r="B1346" s="568">
        <f t="shared" si="69"/>
        <v>12</v>
      </c>
      <c r="C1346" s="569">
        <f t="shared" si="68"/>
        <v>42724</v>
      </c>
      <c r="D1346" s="552" t="s">
        <v>1020</v>
      </c>
      <c r="E1346" s="589">
        <v>42724</v>
      </c>
      <c r="F1346" s="592" t="s">
        <v>891</v>
      </c>
      <c r="G1346" s="590" t="s">
        <v>890</v>
      </c>
      <c r="H1346" s="555" t="s">
        <v>1073</v>
      </c>
      <c r="I1346" s="131">
        <v>70</v>
      </c>
      <c r="J1346" s="131">
        <v>16358.604154989185</v>
      </c>
      <c r="K1346" s="21">
        <f t="shared" si="66"/>
        <v>1145102</v>
      </c>
      <c r="L1346" s="550" t="s">
        <v>166</v>
      </c>
      <c r="M1346" s="550" t="s">
        <v>161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63"/>
    </row>
    <row r="1347" spans="1:26" ht="15.75" hidden="1" customHeight="1">
      <c r="A1347" s="120" t="str">
        <f>IF(B1347&lt;&gt;"",IF(AND(B1347&gt;=_TM1,B1347&lt;=_TM2,OR(TH!L1347="1111",TH!M1347="1111")),TH!D1347,""),"")</f>
        <v/>
      </c>
      <c r="B1347" s="568">
        <f t="shared" si="69"/>
        <v>12</v>
      </c>
      <c r="C1347" s="569">
        <f t="shared" si="68"/>
        <v>42724</v>
      </c>
      <c r="D1347" s="552" t="s">
        <v>1020</v>
      </c>
      <c r="E1347" s="589">
        <v>42724</v>
      </c>
      <c r="F1347" s="592" t="s">
        <v>894</v>
      </c>
      <c r="G1347" s="590" t="s">
        <v>893</v>
      </c>
      <c r="H1347" s="555" t="s">
        <v>1073</v>
      </c>
      <c r="I1347" s="131">
        <v>126</v>
      </c>
      <c r="J1347" s="131">
        <v>13086.883323991349</v>
      </c>
      <c r="K1347" s="21">
        <f t="shared" si="66"/>
        <v>1648947</v>
      </c>
      <c r="L1347" s="550" t="s">
        <v>166</v>
      </c>
      <c r="M1347" s="550" t="s">
        <v>161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63"/>
    </row>
    <row r="1348" spans="1:26" ht="15.75" hidden="1" customHeight="1">
      <c r="A1348" s="120" t="str">
        <f>IF(B1348&lt;&gt;"",IF(AND(B1348&gt;=_TM1,B1348&lt;=_TM2,OR(TH!L1348="1111",TH!M1348="1111")),TH!D1348,""),"")</f>
        <v/>
      </c>
      <c r="B1348" s="568">
        <f t="shared" si="69"/>
        <v>12</v>
      </c>
      <c r="C1348" s="569">
        <f t="shared" si="68"/>
        <v>42724</v>
      </c>
      <c r="D1348" s="552" t="s">
        <v>1020</v>
      </c>
      <c r="E1348" s="589">
        <v>42724</v>
      </c>
      <c r="F1348" s="592" t="s">
        <v>895</v>
      </c>
      <c r="G1348" s="590" t="s">
        <v>893</v>
      </c>
      <c r="H1348" s="555" t="s">
        <v>1073</v>
      </c>
      <c r="I1348" s="572">
        <v>126</v>
      </c>
      <c r="J1348" s="572">
        <v>684.77877858094269</v>
      </c>
      <c r="K1348" s="21">
        <f t="shared" si="66"/>
        <v>86282</v>
      </c>
      <c r="L1348" s="550" t="s">
        <v>166</v>
      </c>
      <c r="M1348" s="550" t="s">
        <v>161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63"/>
    </row>
    <row r="1349" spans="1:26" ht="15.75" hidden="1" customHeight="1">
      <c r="A1349" s="120" t="str">
        <f>IF(B1349&lt;&gt;"",IF(AND(B1349&gt;=_TM1,B1349&lt;=_TM2,OR(TH!L1349="1111",TH!M1349="1111")),TH!D1349,""),"")</f>
        <v/>
      </c>
      <c r="B1349" s="568">
        <f t="shared" si="69"/>
        <v>12</v>
      </c>
      <c r="C1349" s="569">
        <f t="shared" si="68"/>
        <v>42724</v>
      </c>
      <c r="D1349" s="552" t="s">
        <v>1020</v>
      </c>
      <c r="E1349" s="589">
        <v>42724</v>
      </c>
      <c r="F1349" s="592" t="s">
        <v>811</v>
      </c>
      <c r="G1349" s="590" t="s">
        <v>897</v>
      </c>
      <c r="H1349" s="555" t="s">
        <v>1073</v>
      </c>
      <c r="I1349" s="131">
        <v>2400</v>
      </c>
      <c r="J1349" s="131">
        <v>6391.2686000887979</v>
      </c>
      <c r="K1349" s="21">
        <f t="shared" si="66"/>
        <v>15339045</v>
      </c>
      <c r="L1349" s="550" t="s">
        <v>166</v>
      </c>
      <c r="M1349" s="550" t="s">
        <v>161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63"/>
    </row>
    <row r="1350" spans="1:26" ht="15.75" hidden="1" customHeight="1">
      <c r="A1350" s="120" t="str">
        <f>IF(B1350&lt;&gt;"",IF(AND(B1350&gt;=_TM1,B1350&lt;=_TM2,OR(TH!L1350="1111",TH!M1350="1111")),TH!D1350,""),"")</f>
        <v/>
      </c>
      <c r="B1350" s="568">
        <f t="shared" si="69"/>
        <v>12</v>
      </c>
      <c r="C1350" s="569">
        <f t="shared" si="68"/>
        <v>42725</v>
      </c>
      <c r="D1350" s="552" t="s">
        <v>1020</v>
      </c>
      <c r="E1350" s="589">
        <v>42725</v>
      </c>
      <c r="F1350" s="592" t="s">
        <v>811</v>
      </c>
      <c r="G1350" s="590" t="s">
        <v>898</v>
      </c>
      <c r="H1350" s="555" t="s">
        <v>1073</v>
      </c>
      <c r="I1350" s="131">
        <v>2400</v>
      </c>
      <c r="J1350" s="131">
        <v>6391.2686000887979</v>
      </c>
      <c r="K1350" s="21">
        <f t="shared" si="66"/>
        <v>15339045</v>
      </c>
      <c r="L1350" s="550" t="s">
        <v>166</v>
      </c>
      <c r="M1350" s="550" t="s">
        <v>161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63"/>
    </row>
    <row r="1351" spans="1:26" ht="15.75" hidden="1" customHeight="1">
      <c r="A1351" s="120" t="str">
        <f>IF(B1351&lt;&gt;"",IF(AND(B1351&gt;=_TM1,B1351&lt;=_TM2,OR(TH!L1351="1111",TH!M1351="1111")),TH!D1351,""),"")</f>
        <v/>
      </c>
      <c r="B1351" s="568">
        <f t="shared" si="69"/>
        <v>12</v>
      </c>
      <c r="C1351" s="569">
        <f t="shared" si="68"/>
        <v>42726</v>
      </c>
      <c r="D1351" s="552" t="s">
        <v>1020</v>
      </c>
      <c r="E1351" s="589">
        <v>42726</v>
      </c>
      <c r="F1351" s="592" t="s">
        <v>900</v>
      </c>
      <c r="G1351" s="590" t="s">
        <v>899</v>
      </c>
      <c r="H1351" s="555" t="s">
        <v>1073</v>
      </c>
      <c r="I1351" s="572">
        <v>285</v>
      </c>
      <c r="J1351" s="572">
        <v>9891.2490239469498</v>
      </c>
      <c r="K1351" s="21">
        <f t="shared" si="66"/>
        <v>2819006</v>
      </c>
      <c r="L1351" s="550" t="s">
        <v>166</v>
      </c>
      <c r="M1351" s="550" t="s">
        <v>161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63"/>
    </row>
    <row r="1352" spans="1:26" ht="15.75" hidden="1" customHeight="1">
      <c r="A1352" s="120" t="str">
        <f>IF(B1352&lt;&gt;"",IF(AND(B1352&gt;=_TM1,B1352&lt;=_TM2,OR(TH!L1352="1111",TH!M1352="1111")),TH!D1352,""),"")</f>
        <v/>
      </c>
      <c r="B1352" s="568">
        <f t="shared" si="69"/>
        <v>12</v>
      </c>
      <c r="C1352" s="569">
        <f t="shared" si="68"/>
        <v>42726</v>
      </c>
      <c r="D1352" s="552" t="s">
        <v>1020</v>
      </c>
      <c r="E1352" s="589">
        <v>42726</v>
      </c>
      <c r="F1352" s="592" t="s">
        <v>901</v>
      </c>
      <c r="G1352" s="590" t="s">
        <v>899</v>
      </c>
      <c r="H1352" s="555" t="s">
        <v>1073</v>
      </c>
      <c r="I1352" s="131">
        <v>110</v>
      </c>
      <c r="J1352" s="131">
        <v>9434.7298382263216</v>
      </c>
      <c r="K1352" s="21">
        <f t="shared" si="66"/>
        <v>1037820</v>
      </c>
      <c r="L1352" s="550" t="s">
        <v>166</v>
      </c>
      <c r="M1352" s="550" t="s">
        <v>161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63"/>
    </row>
    <row r="1353" spans="1:26" ht="15.75" hidden="1" customHeight="1">
      <c r="A1353" s="120" t="str">
        <f>IF(B1353&lt;&gt;"",IF(AND(B1353&gt;=_TM1,B1353&lt;=_TM2,OR(TH!L1353="1111",TH!M1353="1111")),TH!D1353,""),"")</f>
        <v/>
      </c>
      <c r="B1353" s="568">
        <f t="shared" si="69"/>
        <v>12</v>
      </c>
      <c r="C1353" s="569">
        <f t="shared" si="68"/>
        <v>42726</v>
      </c>
      <c r="D1353" s="552" t="s">
        <v>1020</v>
      </c>
      <c r="E1353" s="589">
        <v>42726</v>
      </c>
      <c r="F1353" s="592" t="s">
        <v>902</v>
      </c>
      <c r="G1353" s="590" t="s">
        <v>899</v>
      </c>
      <c r="H1353" s="555" t="s">
        <v>1073</v>
      </c>
      <c r="I1353" s="572">
        <v>160</v>
      </c>
      <c r="J1353" s="572">
        <v>9739.075962040075</v>
      </c>
      <c r="K1353" s="21">
        <f t="shared" si="66"/>
        <v>1558252</v>
      </c>
      <c r="L1353" s="550" t="s">
        <v>166</v>
      </c>
      <c r="M1353" s="550" t="s">
        <v>161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63"/>
    </row>
    <row r="1354" spans="1:26" ht="15.75" hidden="1" customHeight="1">
      <c r="A1354" s="120" t="str">
        <f>IF(B1354&lt;&gt;"",IF(AND(B1354&gt;=_TM1,B1354&lt;=_TM2,OR(TH!L1354="1111",TH!M1354="1111")),TH!D1354,""),"")</f>
        <v/>
      </c>
      <c r="B1354" s="568">
        <f t="shared" si="69"/>
        <v>12</v>
      </c>
      <c r="C1354" s="569">
        <f t="shared" si="68"/>
        <v>42726</v>
      </c>
      <c r="D1354" s="552" t="s">
        <v>1020</v>
      </c>
      <c r="E1354" s="589">
        <v>42726</v>
      </c>
      <c r="F1354" s="592" t="s">
        <v>499</v>
      </c>
      <c r="G1354" s="590" t="s">
        <v>899</v>
      </c>
      <c r="H1354" s="555" t="s">
        <v>1073</v>
      </c>
      <c r="I1354" s="131">
        <v>550</v>
      </c>
      <c r="J1354" s="131">
        <v>10195.595147760703</v>
      </c>
      <c r="K1354" s="21">
        <f t="shared" si="66"/>
        <v>5607577</v>
      </c>
      <c r="L1354" s="550" t="s">
        <v>166</v>
      </c>
      <c r="M1354" s="550" t="s">
        <v>161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63"/>
    </row>
    <row r="1355" spans="1:26" ht="15.75" hidden="1" customHeight="1">
      <c r="A1355" s="120" t="str">
        <f>IF(B1355&lt;&gt;"",IF(AND(B1355&gt;=_TM1,B1355&lt;=_TM2,OR(TH!L1355="1111",TH!M1355="1111")),TH!D1355,""),"")</f>
        <v/>
      </c>
      <c r="B1355" s="568">
        <f t="shared" si="69"/>
        <v>12</v>
      </c>
      <c r="C1355" s="569">
        <f t="shared" si="68"/>
        <v>42726</v>
      </c>
      <c r="D1355" s="552" t="s">
        <v>1020</v>
      </c>
      <c r="E1355" s="589">
        <v>42726</v>
      </c>
      <c r="F1355" s="592" t="s">
        <v>904</v>
      </c>
      <c r="G1355" s="590" t="s">
        <v>903</v>
      </c>
      <c r="H1355" s="555" t="s">
        <v>1073</v>
      </c>
      <c r="I1355" s="131">
        <v>275</v>
      </c>
      <c r="J1355" s="131">
        <v>12630.364138270721</v>
      </c>
      <c r="K1355" s="21">
        <f t="shared" si="66"/>
        <v>3473350</v>
      </c>
      <c r="L1355" s="550" t="s">
        <v>166</v>
      </c>
      <c r="M1355" s="550" t="s">
        <v>161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63"/>
    </row>
    <row r="1356" spans="1:26" ht="15.75" hidden="1" customHeight="1">
      <c r="A1356" s="120" t="str">
        <f>IF(B1356&lt;&gt;"",IF(AND(B1356&gt;=_TM1,B1356&lt;=_TM2,OR(TH!L1356="1111",TH!M1356="1111")),TH!D1356,""),"")</f>
        <v/>
      </c>
      <c r="B1356" s="568">
        <f t="shared" si="69"/>
        <v>12</v>
      </c>
      <c r="C1356" s="569">
        <f t="shared" si="68"/>
        <v>42726</v>
      </c>
      <c r="D1356" s="552" t="s">
        <v>1020</v>
      </c>
      <c r="E1356" s="589">
        <v>42726</v>
      </c>
      <c r="F1356" s="592" t="s">
        <v>905</v>
      </c>
      <c r="G1356" s="590" t="s">
        <v>903</v>
      </c>
      <c r="H1356" s="555" t="s">
        <v>1073</v>
      </c>
      <c r="I1356" s="131">
        <v>66</v>
      </c>
      <c r="J1356" s="131">
        <v>10728.200864434768</v>
      </c>
      <c r="K1356" s="21">
        <f t="shared" si="66"/>
        <v>708061</v>
      </c>
      <c r="L1356" s="550" t="s">
        <v>166</v>
      </c>
      <c r="M1356" s="550" t="s">
        <v>161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63"/>
    </row>
    <row r="1357" spans="1:26" ht="15.75" hidden="1" customHeight="1">
      <c r="A1357" s="120" t="str">
        <f>IF(B1357&lt;&gt;"",IF(AND(B1357&gt;=_TM1,B1357&lt;=_TM2,OR(TH!L1357="1111",TH!M1357="1111")),TH!D1357,""),"")</f>
        <v/>
      </c>
      <c r="B1357" s="568">
        <f t="shared" si="69"/>
        <v>12</v>
      </c>
      <c r="C1357" s="569">
        <f t="shared" si="68"/>
        <v>42726</v>
      </c>
      <c r="D1357" s="552" t="s">
        <v>1020</v>
      </c>
      <c r="E1357" s="589">
        <v>42726</v>
      </c>
      <c r="F1357" s="592" t="s">
        <v>499</v>
      </c>
      <c r="G1357" s="590" t="s">
        <v>903</v>
      </c>
      <c r="H1357" s="555" t="s">
        <v>1073</v>
      </c>
      <c r="I1357" s="131">
        <v>165</v>
      </c>
      <c r="J1357" s="131">
        <v>10195.595147760703</v>
      </c>
      <c r="K1357" s="21">
        <f t="shared" si="66"/>
        <v>1682273</v>
      </c>
      <c r="L1357" s="550" t="s">
        <v>166</v>
      </c>
      <c r="M1357" s="550" t="s">
        <v>161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63"/>
    </row>
    <row r="1358" spans="1:26" ht="15.75" hidden="1" customHeight="1">
      <c r="A1358" s="120" t="str">
        <f>IF(B1358&lt;&gt;"",IF(AND(B1358&gt;=_TM1,B1358&lt;=_TM2,OR(TH!L1358="1111",TH!M1358="1111")),TH!D1358,""),"")</f>
        <v/>
      </c>
      <c r="B1358" s="568">
        <f t="shared" si="69"/>
        <v>12</v>
      </c>
      <c r="C1358" s="569">
        <f t="shared" si="68"/>
        <v>42726</v>
      </c>
      <c r="D1358" s="552" t="s">
        <v>1020</v>
      </c>
      <c r="E1358" s="589">
        <v>42726</v>
      </c>
      <c r="F1358" s="592" t="s">
        <v>507</v>
      </c>
      <c r="G1358" s="590" t="s">
        <v>903</v>
      </c>
      <c r="H1358" s="555" t="s">
        <v>1073</v>
      </c>
      <c r="I1358" s="131">
        <v>550</v>
      </c>
      <c r="J1358" s="131">
        <v>1521.7306190687616</v>
      </c>
      <c r="K1358" s="21">
        <f t="shared" si="66"/>
        <v>836952</v>
      </c>
      <c r="L1358" s="550" t="s">
        <v>166</v>
      </c>
      <c r="M1358" s="550" t="s">
        <v>161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63"/>
    </row>
    <row r="1359" spans="1:26" ht="15.75" hidden="1" customHeight="1">
      <c r="A1359" s="120" t="str">
        <f>IF(B1359&lt;&gt;"",IF(AND(B1359&gt;=_TM1,B1359&lt;=_TM2,OR(TH!L1359="1111",TH!M1359="1111")),TH!D1359,""),"")</f>
        <v/>
      </c>
      <c r="B1359" s="568">
        <f t="shared" si="69"/>
        <v>12</v>
      </c>
      <c r="C1359" s="569">
        <f t="shared" si="68"/>
        <v>42726</v>
      </c>
      <c r="D1359" s="552" t="s">
        <v>1020</v>
      </c>
      <c r="E1359" s="589">
        <v>42726</v>
      </c>
      <c r="F1359" s="592" t="s">
        <v>906</v>
      </c>
      <c r="G1359" s="590" t="s">
        <v>903</v>
      </c>
      <c r="H1359" s="555" t="s">
        <v>1073</v>
      </c>
      <c r="I1359" s="131">
        <v>132</v>
      </c>
      <c r="J1359" s="131">
        <v>1369.5575571618854</v>
      </c>
      <c r="K1359" s="21">
        <f t="shared" si="66"/>
        <v>180782</v>
      </c>
      <c r="L1359" s="550" t="s">
        <v>166</v>
      </c>
      <c r="M1359" s="550" t="s">
        <v>161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63"/>
    </row>
    <row r="1360" spans="1:26" ht="15.75" hidden="1" customHeight="1">
      <c r="A1360" s="120" t="str">
        <f>IF(B1360&lt;&gt;"",IF(AND(B1360&gt;=_TM1,B1360&lt;=_TM2,OR(TH!L1360="1111",TH!M1360="1111")),TH!D1360,""),"")</f>
        <v/>
      </c>
      <c r="B1360" s="568">
        <f t="shared" si="69"/>
        <v>12</v>
      </c>
      <c r="C1360" s="569">
        <f t="shared" si="68"/>
        <v>42726</v>
      </c>
      <c r="D1360" s="552" t="s">
        <v>1020</v>
      </c>
      <c r="E1360" s="589">
        <v>42726</v>
      </c>
      <c r="F1360" s="592" t="s">
        <v>498</v>
      </c>
      <c r="G1360" s="590" t="s">
        <v>907</v>
      </c>
      <c r="H1360" s="555" t="s">
        <v>1073</v>
      </c>
      <c r="I1360" s="131">
        <v>571</v>
      </c>
      <c r="J1360" s="131">
        <v>9739.075962040075</v>
      </c>
      <c r="K1360" s="21">
        <f t="shared" si="66"/>
        <v>5561012</v>
      </c>
      <c r="L1360" s="550" t="s">
        <v>166</v>
      </c>
      <c r="M1360" s="550" t="s">
        <v>161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63"/>
    </row>
    <row r="1361" spans="1:26" ht="15.75" hidden="1" customHeight="1">
      <c r="A1361" s="120" t="str">
        <f>IF(B1361&lt;&gt;"",IF(AND(B1361&gt;=_TM1,B1361&lt;=_TM2,OR(TH!L1361="1111",TH!M1361="1111")),TH!D1361,""),"")</f>
        <v/>
      </c>
      <c r="B1361" s="568">
        <f t="shared" si="69"/>
        <v>12</v>
      </c>
      <c r="C1361" s="569">
        <f t="shared" si="68"/>
        <v>42726</v>
      </c>
      <c r="D1361" s="552" t="s">
        <v>1020</v>
      </c>
      <c r="E1361" s="589">
        <v>42726</v>
      </c>
      <c r="F1361" s="592" t="s">
        <v>498</v>
      </c>
      <c r="G1361" s="590" t="s">
        <v>908</v>
      </c>
      <c r="H1361" s="555" t="s">
        <v>1073</v>
      </c>
      <c r="I1361" s="132">
        <v>633</v>
      </c>
      <c r="J1361" s="131">
        <v>9739.075962040075</v>
      </c>
      <c r="K1361" s="21">
        <f t="shared" si="66"/>
        <v>6164835</v>
      </c>
      <c r="L1361" s="550" t="s">
        <v>166</v>
      </c>
      <c r="M1361" s="550" t="s">
        <v>161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63"/>
    </row>
    <row r="1362" spans="1:26" ht="15.75" hidden="1" customHeight="1">
      <c r="A1362" s="120" t="str">
        <f>IF(B1362&lt;&gt;"",IF(AND(B1362&gt;=_TM1,B1362&lt;=_TM2,OR(TH!L1362="1111",TH!M1362="1111")),TH!D1362,""),"")</f>
        <v/>
      </c>
      <c r="B1362" s="568">
        <f t="shared" si="69"/>
        <v>12</v>
      </c>
      <c r="C1362" s="569">
        <f t="shared" si="68"/>
        <v>42726</v>
      </c>
      <c r="D1362" s="552" t="s">
        <v>1020</v>
      </c>
      <c r="E1362" s="589">
        <v>42726</v>
      </c>
      <c r="F1362" s="592" t="s">
        <v>527</v>
      </c>
      <c r="G1362" s="590" t="s">
        <v>909</v>
      </c>
      <c r="H1362" s="555" t="s">
        <v>1073</v>
      </c>
      <c r="I1362" s="131">
        <v>288</v>
      </c>
      <c r="J1362" s="131">
        <v>55162.734941242605</v>
      </c>
      <c r="K1362" s="21">
        <f t="shared" si="66"/>
        <v>15886868</v>
      </c>
      <c r="L1362" s="550" t="s">
        <v>166</v>
      </c>
      <c r="M1362" s="550" t="s">
        <v>161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63"/>
    </row>
    <row r="1363" spans="1:26" ht="15.75" hidden="1" customHeight="1">
      <c r="A1363" s="120" t="str">
        <f>IF(B1363&lt;&gt;"",IF(AND(B1363&gt;=_TM1,B1363&lt;=_TM2,OR(TH!L1363="1111",TH!M1363="1111")),TH!D1363,""),"")</f>
        <v/>
      </c>
      <c r="B1363" s="568">
        <f t="shared" si="69"/>
        <v>12</v>
      </c>
      <c r="C1363" s="569">
        <f t="shared" si="68"/>
        <v>42726</v>
      </c>
      <c r="D1363" s="552" t="s">
        <v>1020</v>
      </c>
      <c r="E1363" s="589">
        <v>42726</v>
      </c>
      <c r="F1363" s="592" t="s">
        <v>910</v>
      </c>
      <c r="G1363" s="590" t="s">
        <v>909</v>
      </c>
      <c r="H1363" s="555" t="s">
        <v>1073</v>
      </c>
      <c r="I1363" s="131">
        <v>24</v>
      </c>
      <c r="J1363" s="131">
        <v>39717.169157694676</v>
      </c>
      <c r="K1363" s="21">
        <f t="shared" si="66"/>
        <v>953212</v>
      </c>
      <c r="L1363" s="550" t="s">
        <v>166</v>
      </c>
      <c r="M1363" s="550" t="s">
        <v>161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63"/>
    </row>
    <row r="1364" spans="1:26" ht="15.75" hidden="1" customHeight="1">
      <c r="A1364" s="120" t="str">
        <f>IF(B1364&lt;&gt;"",IF(AND(B1364&gt;=_TM1,B1364&lt;=_TM2,OR(TH!L1364="1111",TH!M1364="1111")),TH!D1364,""),"")</f>
        <v/>
      </c>
      <c r="B1364" s="568">
        <f t="shared" si="69"/>
        <v>12</v>
      </c>
      <c r="C1364" s="569">
        <f t="shared" si="68"/>
        <v>42726</v>
      </c>
      <c r="D1364" s="552" t="s">
        <v>1020</v>
      </c>
      <c r="E1364" s="589">
        <v>42726</v>
      </c>
      <c r="F1364" s="592" t="s">
        <v>811</v>
      </c>
      <c r="G1364" s="590" t="s">
        <v>911</v>
      </c>
      <c r="H1364" s="555" t="s">
        <v>1073</v>
      </c>
      <c r="I1364" s="572">
        <v>550</v>
      </c>
      <c r="J1364" s="572">
        <v>6391.2686000887979</v>
      </c>
      <c r="K1364" s="21">
        <f t="shared" si="66"/>
        <v>3515198</v>
      </c>
      <c r="L1364" s="550" t="s">
        <v>166</v>
      </c>
      <c r="M1364" s="550" t="s">
        <v>161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63"/>
    </row>
    <row r="1365" spans="1:26" ht="15.75" hidden="1" customHeight="1">
      <c r="A1365" s="120" t="str">
        <f>IF(B1365&lt;&gt;"",IF(AND(B1365&gt;=_TM1,B1365&lt;=_TM2,OR(TH!L1365="1111",TH!M1365="1111")),TH!D1365,""),"")</f>
        <v/>
      </c>
      <c r="B1365" s="568">
        <f t="shared" si="69"/>
        <v>12</v>
      </c>
      <c r="C1365" s="569">
        <f t="shared" si="68"/>
        <v>42727</v>
      </c>
      <c r="D1365" s="552" t="s">
        <v>1020</v>
      </c>
      <c r="E1365" s="589">
        <v>42727</v>
      </c>
      <c r="F1365" s="592" t="s">
        <v>811</v>
      </c>
      <c r="G1365" s="590" t="s">
        <v>912</v>
      </c>
      <c r="H1365" s="555" t="s">
        <v>1073</v>
      </c>
      <c r="I1365" s="131">
        <v>2400</v>
      </c>
      <c r="J1365" s="131">
        <v>6391.2686000887979</v>
      </c>
      <c r="K1365" s="21">
        <f t="shared" si="66"/>
        <v>15339045</v>
      </c>
      <c r="L1365" s="550" t="s">
        <v>166</v>
      </c>
      <c r="M1365" s="550" t="s">
        <v>161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63"/>
    </row>
    <row r="1366" spans="1:26" ht="15.75" hidden="1" customHeight="1">
      <c r="A1366" s="120" t="str">
        <f>IF(B1366&lt;&gt;"",IF(AND(B1366&gt;=_TM1,B1366&lt;=_TM2,OR(TH!L1366="1111",TH!M1366="1111")),TH!D1366,""),"")</f>
        <v/>
      </c>
      <c r="B1366" s="568">
        <f t="shared" si="69"/>
        <v>12</v>
      </c>
      <c r="C1366" s="569">
        <f t="shared" si="68"/>
        <v>42728</v>
      </c>
      <c r="D1366" s="552" t="s">
        <v>1020</v>
      </c>
      <c r="E1366" s="589">
        <v>42728</v>
      </c>
      <c r="F1366" s="592" t="s">
        <v>914</v>
      </c>
      <c r="G1366" s="590" t="s">
        <v>913</v>
      </c>
      <c r="H1366" s="555" t="s">
        <v>1073</v>
      </c>
      <c r="I1366" s="131">
        <v>1010</v>
      </c>
      <c r="J1366" s="131">
        <v>8673.86452869194</v>
      </c>
      <c r="K1366" s="21">
        <f t="shared" si="66"/>
        <v>8760603</v>
      </c>
      <c r="L1366" s="550" t="s">
        <v>166</v>
      </c>
      <c r="M1366" s="550" t="s">
        <v>161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63"/>
    </row>
    <row r="1367" spans="1:26" ht="15.75" hidden="1" customHeight="1">
      <c r="A1367" s="120" t="str">
        <f>IF(B1367&lt;&gt;"",IF(AND(B1367&gt;=_TM1,B1367&lt;=_TM2,OR(TH!L1367="1111",TH!M1367="1111")),TH!D1367,""),"")</f>
        <v/>
      </c>
      <c r="B1367" s="568">
        <f t="shared" si="69"/>
        <v>12</v>
      </c>
      <c r="C1367" s="569">
        <f t="shared" si="68"/>
        <v>42728</v>
      </c>
      <c r="D1367" s="552" t="s">
        <v>1020</v>
      </c>
      <c r="E1367" s="589">
        <v>42728</v>
      </c>
      <c r="F1367" s="592" t="s">
        <v>915</v>
      </c>
      <c r="G1367" s="590" t="s">
        <v>913</v>
      </c>
      <c r="H1367" s="555" t="s">
        <v>1073</v>
      </c>
      <c r="I1367" s="131">
        <v>1006</v>
      </c>
      <c r="J1367" s="131">
        <v>7456.4800334369311</v>
      </c>
      <c r="K1367" s="21">
        <f t="shared" si="66"/>
        <v>7501219</v>
      </c>
      <c r="L1367" s="550" t="s">
        <v>166</v>
      </c>
      <c r="M1367" s="550" t="s">
        <v>161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63"/>
    </row>
    <row r="1368" spans="1:26" ht="15.75" hidden="1" customHeight="1">
      <c r="A1368" s="120" t="str">
        <f>IF(B1368&lt;&gt;"",IF(AND(B1368&gt;=_TM1,B1368&lt;=_TM2,OR(TH!L1368="1111",TH!M1368="1111")),TH!D1368,""),"")</f>
        <v/>
      </c>
      <c r="B1368" s="568">
        <f t="shared" si="69"/>
        <v>12</v>
      </c>
      <c r="C1368" s="569">
        <f t="shared" si="68"/>
        <v>42728</v>
      </c>
      <c r="D1368" s="552" t="s">
        <v>1020</v>
      </c>
      <c r="E1368" s="589">
        <v>42728</v>
      </c>
      <c r="F1368" s="592" t="s">
        <v>811</v>
      </c>
      <c r="G1368" s="590" t="s">
        <v>916</v>
      </c>
      <c r="H1368" s="555" t="s">
        <v>1073</v>
      </c>
      <c r="I1368" s="132">
        <v>2400</v>
      </c>
      <c r="J1368" s="132">
        <v>6391.2686000887979</v>
      </c>
      <c r="K1368" s="21">
        <f t="shared" si="66"/>
        <v>15339045</v>
      </c>
      <c r="L1368" s="550" t="s">
        <v>166</v>
      </c>
      <c r="M1368" s="550" t="s">
        <v>161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63"/>
    </row>
    <row r="1369" spans="1:26" ht="15.75" hidden="1" customHeight="1">
      <c r="A1369" s="120" t="str">
        <f>IF(B1369&lt;&gt;"",IF(AND(B1369&gt;=_TM1,B1369&lt;=_TM2,OR(TH!L1369="1111",TH!M1369="1111")),TH!D1369,""),"")</f>
        <v/>
      </c>
      <c r="B1369" s="568">
        <f t="shared" si="69"/>
        <v>12</v>
      </c>
      <c r="C1369" s="569">
        <f t="shared" si="68"/>
        <v>42729</v>
      </c>
      <c r="D1369" s="552" t="s">
        <v>1020</v>
      </c>
      <c r="E1369" s="589">
        <v>42729</v>
      </c>
      <c r="F1369" s="592" t="s">
        <v>918</v>
      </c>
      <c r="G1369" s="590" t="s">
        <v>917</v>
      </c>
      <c r="H1369" s="555" t="s">
        <v>1073</v>
      </c>
      <c r="I1369" s="131">
        <v>1070</v>
      </c>
      <c r="J1369" s="131">
        <v>7304.3069715300553</v>
      </c>
      <c r="K1369" s="21">
        <f t="shared" si="66"/>
        <v>7815608</v>
      </c>
      <c r="L1369" s="550" t="s">
        <v>166</v>
      </c>
      <c r="M1369" s="550" t="s">
        <v>161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63"/>
    </row>
    <row r="1370" spans="1:26" ht="15.75" hidden="1" customHeight="1">
      <c r="A1370" s="120" t="str">
        <f>IF(B1370&lt;&gt;"",IF(AND(B1370&gt;=_TM1,B1370&lt;=_TM2,OR(TH!L1370="1111",TH!M1370="1111")),TH!D1370,""),"")</f>
        <v/>
      </c>
      <c r="B1370" s="568">
        <f t="shared" si="69"/>
        <v>12</v>
      </c>
      <c r="C1370" s="569">
        <f t="shared" si="68"/>
        <v>42729</v>
      </c>
      <c r="D1370" s="552" t="s">
        <v>1020</v>
      </c>
      <c r="E1370" s="589">
        <v>42729</v>
      </c>
      <c r="F1370" s="592" t="s">
        <v>811</v>
      </c>
      <c r="G1370" s="590" t="s">
        <v>920</v>
      </c>
      <c r="H1370" s="555" t="s">
        <v>1073</v>
      </c>
      <c r="I1370" s="131">
        <v>2400</v>
      </c>
      <c r="J1370" s="131">
        <v>6391.2686000887979</v>
      </c>
      <c r="K1370" s="21">
        <f t="shared" si="66"/>
        <v>15339045</v>
      </c>
      <c r="L1370" s="550" t="s">
        <v>166</v>
      </c>
      <c r="M1370" s="550" t="s">
        <v>161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63"/>
    </row>
    <row r="1371" spans="1:26" ht="15.75" hidden="1" customHeight="1">
      <c r="A1371" s="120" t="str">
        <f>IF(B1371&lt;&gt;"",IF(AND(B1371&gt;=_TM1,B1371&lt;=_TM2,OR(TH!L1371="1111",TH!M1371="1111")),TH!D1371,""),"")</f>
        <v/>
      </c>
      <c r="B1371" s="568">
        <f t="shared" si="69"/>
        <v>12</v>
      </c>
      <c r="C1371" s="569">
        <f t="shared" si="68"/>
        <v>42730</v>
      </c>
      <c r="D1371" s="552" t="s">
        <v>1020</v>
      </c>
      <c r="E1371" s="589">
        <v>42730</v>
      </c>
      <c r="F1371" s="592" t="s">
        <v>811</v>
      </c>
      <c r="G1371" s="590" t="s">
        <v>921</v>
      </c>
      <c r="H1371" s="555" t="s">
        <v>1073</v>
      </c>
      <c r="I1371" s="131">
        <v>1200</v>
      </c>
      <c r="J1371" s="131">
        <v>6391.2686000887979</v>
      </c>
      <c r="K1371" s="21">
        <f t="shared" si="66"/>
        <v>7669522</v>
      </c>
      <c r="L1371" s="550" t="s">
        <v>166</v>
      </c>
      <c r="M1371" s="550" t="s">
        <v>161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63"/>
    </row>
    <row r="1372" spans="1:26" ht="15.75" hidden="1" customHeight="1">
      <c r="A1372" s="120" t="str">
        <f>IF(B1372&lt;&gt;"",IF(AND(B1372&gt;=_TM1,B1372&lt;=_TM2,OR(TH!L1372="1111",TH!M1372="1111")),TH!D1372,""),"")</f>
        <v/>
      </c>
      <c r="B1372" s="568">
        <f t="shared" si="69"/>
        <v>12</v>
      </c>
      <c r="C1372" s="569">
        <f t="shared" si="68"/>
        <v>42731</v>
      </c>
      <c r="D1372" s="552" t="s">
        <v>1020</v>
      </c>
      <c r="E1372" s="589">
        <v>42731</v>
      </c>
      <c r="F1372" s="592" t="s">
        <v>811</v>
      </c>
      <c r="G1372" s="590" t="s">
        <v>922</v>
      </c>
      <c r="H1372" s="555" t="s">
        <v>1073</v>
      </c>
      <c r="I1372" s="572">
        <v>1380</v>
      </c>
      <c r="J1372" s="132">
        <v>6391.2686000887979</v>
      </c>
      <c r="K1372" s="21">
        <f t="shared" si="66"/>
        <v>8819951</v>
      </c>
      <c r="L1372" s="550" t="s">
        <v>166</v>
      </c>
      <c r="M1372" s="550" t="s">
        <v>161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63"/>
    </row>
    <row r="1373" spans="1:26" ht="15.75" hidden="1" customHeight="1">
      <c r="A1373" s="120" t="str">
        <f>IF(B1373&lt;&gt;"",IF(AND(B1373&gt;=_TM1,B1373&lt;=_TM2,OR(TH!L1373="1111",TH!M1373="1111")),TH!D1373,""),"")</f>
        <v/>
      </c>
      <c r="B1373" s="568">
        <f t="shared" si="69"/>
        <v>12</v>
      </c>
      <c r="C1373" s="569">
        <f t="shared" si="68"/>
        <v>42732</v>
      </c>
      <c r="D1373" s="552" t="s">
        <v>1020</v>
      </c>
      <c r="E1373" s="589">
        <v>42732</v>
      </c>
      <c r="F1373" s="592" t="s">
        <v>811</v>
      </c>
      <c r="G1373" s="590" t="s">
        <v>923</v>
      </c>
      <c r="H1373" s="555" t="s">
        <v>1073</v>
      </c>
      <c r="I1373" s="131">
        <v>2030</v>
      </c>
      <c r="J1373" s="132">
        <v>6391.2686000887979</v>
      </c>
      <c r="K1373" s="21">
        <f t="shared" si="66"/>
        <v>12974275</v>
      </c>
      <c r="L1373" s="550" t="s">
        <v>166</v>
      </c>
      <c r="M1373" s="550" t="s">
        <v>161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63"/>
    </row>
    <row r="1374" spans="1:26" ht="15.75" hidden="1" customHeight="1">
      <c r="A1374" s="120" t="str">
        <f>IF(B1374&lt;&gt;"",IF(AND(B1374&gt;=_TM1,B1374&lt;=_TM2,OR(TH!L1374="1111",TH!M1374="1111")),TH!D1374,""),"")</f>
        <v/>
      </c>
      <c r="B1374" s="568">
        <f t="shared" si="69"/>
        <v>12</v>
      </c>
      <c r="C1374" s="569">
        <f t="shared" si="68"/>
        <v>42732</v>
      </c>
      <c r="D1374" s="552" t="s">
        <v>1020</v>
      </c>
      <c r="E1374" s="589">
        <v>42732</v>
      </c>
      <c r="F1374" s="592" t="s">
        <v>959</v>
      </c>
      <c r="G1374" s="590" t="s">
        <v>958</v>
      </c>
      <c r="H1374" s="555" t="s">
        <v>1073</v>
      </c>
      <c r="I1374" s="131">
        <v>188</v>
      </c>
      <c r="J1374" s="131">
        <v>9206.4702453660066</v>
      </c>
      <c r="K1374" s="21">
        <f t="shared" si="66"/>
        <v>1730816</v>
      </c>
      <c r="L1374" s="550" t="s">
        <v>166</v>
      </c>
      <c r="M1374" s="550" t="s">
        <v>161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63"/>
    </row>
    <row r="1375" spans="1:26" ht="15.75" hidden="1" customHeight="1">
      <c r="A1375" s="120" t="str">
        <f>IF(B1375&lt;&gt;"",IF(AND(B1375&gt;=_TM1,B1375&lt;=_TM2,OR(TH!L1375="1111",TH!M1375="1111")),TH!D1375,""),"")</f>
        <v/>
      </c>
      <c r="B1375" s="568">
        <f t="shared" si="69"/>
        <v>12</v>
      </c>
      <c r="C1375" s="569">
        <f t="shared" si="68"/>
        <v>42732</v>
      </c>
      <c r="D1375" s="552" t="s">
        <v>1020</v>
      </c>
      <c r="E1375" s="589">
        <v>42732</v>
      </c>
      <c r="F1375" s="592" t="s">
        <v>509</v>
      </c>
      <c r="G1375" s="590" t="s">
        <v>925</v>
      </c>
      <c r="H1375" s="555" t="s">
        <v>1073</v>
      </c>
      <c r="I1375" s="131">
        <v>209</v>
      </c>
      <c r="J1375" s="131">
        <v>10195.595147760703</v>
      </c>
      <c r="K1375" s="21">
        <f t="shared" si="66"/>
        <v>2130879</v>
      </c>
      <c r="L1375" s="550" t="s">
        <v>166</v>
      </c>
      <c r="M1375" s="550" t="s">
        <v>161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63"/>
    </row>
    <row r="1376" spans="1:26" ht="15.75" hidden="1" customHeight="1">
      <c r="A1376" s="120" t="str">
        <f>IF(B1376&lt;&gt;"",IF(AND(B1376&gt;=_TM1,B1376&lt;=_TM2,OR(TH!L1376="1111",TH!M1376="1111")),TH!D1376,""),"")</f>
        <v/>
      </c>
      <c r="B1376" s="568">
        <f t="shared" si="69"/>
        <v>12</v>
      </c>
      <c r="C1376" s="569">
        <f t="shared" si="68"/>
        <v>42732</v>
      </c>
      <c r="D1376" s="552" t="s">
        <v>1020</v>
      </c>
      <c r="E1376" s="589">
        <v>42732</v>
      </c>
      <c r="F1376" s="592" t="s">
        <v>926</v>
      </c>
      <c r="G1376" s="590" t="s">
        <v>924</v>
      </c>
      <c r="H1376" s="555" t="s">
        <v>1073</v>
      </c>
      <c r="I1376" s="131">
        <v>244</v>
      </c>
      <c r="J1376" s="131">
        <v>11108.63351920196</v>
      </c>
      <c r="K1376" s="21">
        <f t="shared" si="66"/>
        <v>2710507</v>
      </c>
      <c r="L1376" s="550" t="s">
        <v>166</v>
      </c>
      <c r="M1376" s="550" t="s">
        <v>161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63"/>
    </row>
    <row r="1377" spans="1:26" ht="15.75" hidden="1" customHeight="1">
      <c r="A1377" s="120" t="str">
        <f>IF(B1377&lt;&gt;"",IF(AND(B1377&gt;=_TM1,B1377&lt;=_TM2,OR(TH!L1377="1111",TH!M1377="1111")),TH!D1377,""),"")</f>
        <v/>
      </c>
      <c r="B1377" s="568">
        <f t="shared" si="69"/>
        <v>12</v>
      </c>
      <c r="C1377" s="569">
        <f t="shared" si="68"/>
        <v>42732</v>
      </c>
      <c r="D1377" s="552" t="s">
        <v>1020</v>
      </c>
      <c r="E1377" s="589">
        <v>42732</v>
      </c>
      <c r="F1377" s="592" t="s">
        <v>927</v>
      </c>
      <c r="G1377" s="590" t="s">
        <v>924</v>
      </c>
      <c r="H1377" s="555" t="s">
        <v>1073</v>
      </c>
      <c r="I1377" s="131">
        <v>244</v>
      </c>
      <c r="J1377" s="131">
        <v>10423.854740621018</v>
      </c>
      <c r="K1377" s="21">
        <f t="shared" si="66"/>
        <v>2543421</v>
      </c>
      <c r="L1377" s="550" t="s">
        <v>166</v>
      </c>
      <c r="M1377" s="550" t="s">
        <v>161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63"/>
    </row>
    <row r="1378" spans="1:26" ht="15.75" hidden="1" customHeight="1">
      <c r="A1378" s="120" t="str">
        <f>IF(B1378&lt;&gt;"",IF(AND(B1378&gt;=_TM1,B1378&lt;=_TM2,OR(TH!L1378="1111",TH!M1378="1111")),TH!D1378,""),"")</f>
        <v/>
      </c>
      <c r="B1378" s="568">
        <f t="shared" si="69"/>
        <v>12</v>
      </c>
      <c r="C1378" s="569">
        <f t="shared" si="68"/>
        <v>42732</v>
      </c>
      <c r="D1378" s="552" t="s">
        <v>1020</v>
      </c>
      <c r="E1378" s="589">
        <v>42732</v>
      </c>
      <c r="F1378" s="592" t="s">
        <v>928</v>
      </c>
      <c r="G1378" s="590" t="s">
        <v>924</v>
      </c>
      <c r="H1378" s="555" t="s">
        <v>1073</v>
      </c>
      <c r="I1378" s="131">
        <v>244</v>
      </c>
      <c r="J1378" s="131">
        <v>1141.297964301571</v>
      </c>
      <c r="K1378" s="21">
        <f t="shared" si="66"/>
        <v>278477</v>
      </c>
      <c r="L1378" s="550" t="s">
        <v>166</v>
      </c>
      <c r="M1378" s="550" t="s">
        <v>161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63"/>
    </row>
    <row r="1379" spans="1:26" ht="15.75" hidden="1" customHeight="1">
      <c r="A1379" s="120" t="str">
        <f>IF(B1379&lt;&gt;"",IF(AND(B1379&gt;=_TM1,B1379&lt;=_TM2,OR(TH!L1379="1111",TH!M1379="1111")),TH!D1379,""),"")</f>
        <v/>
      </c>
      <c r="B1379" s="568">
        <f t="shared" si="69"/>
        <v>12</v>
      </c>
      <c r="C1379" s="569">
        <f t="shared" si="68"/>
        <v>42732</v>
      </c>
      <c r="D1379" s="552" t="s">
        <v>1020</v>
      </c>
      <c r="E1379" s="589">
        <v>42732</v>
      </c>
      <c r="F1379" s="592" t="s">
        <v>929</v>
      </c>
      <c r="G1379" s="590" t="s">
        <v>924</v>
      </c>
      <c r="H1379" s="555" t="s">
        <v>1073</v>
      </c>
      <c r="I1379" s="131">
        <v>244</v>
      </c>
      <c r="J1379" s="132">
        <v>989.12490239469503</v>
      </c>
      <c r="K1379" s="21">
        <f t="shared" si="66"/>
        <v>241346</v>
      </c>
      <c r="L1379" s="550" t="s">
        <v>166</v>
      </c>
      <c r="M1379" s="550" t="s">
        <v>161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63"/>
    </row>
    <row r="1380" spans="1:26" ht="15.75" hidden="1" customHeight="1">
      <c r="A1380" s="120" t="str">
        <f>IF(B1380&lt;&gt;"",IF(AND(B1380&gt;=_TM1,B1380&lt;=_TM2,OR(TH!L1380="1111",TH!M1380="1111")),TH!D1380,""),"")</f>
        <v/>
      </c>
      <c r="B1380" s="568">
        <f t="shared" si="69"/>
        <v>12</v>
      </c>
      <c r="C1380" s="569">
        <f t="shared" si="68"/>
        <v>42732</v>
      </c>
      <c r="D1380" s="552" t="s">
        <v>1020</v>
      </c>
      <c r="E1380" s="589">
        <v>42732</v>
      </c>
      <c r="F1380" s="592" t="s">
        <v>930</v>
      </c>
      <c r="G1380" s="590" t="s">
        <v>924</v>
      </c>
      <c r="H1380" s="555" t="s">
        <v>1073</v>
      </c>
      <c r="I1380" s="131">
        <v>244</v>
      </c>
      <c r="J1380" s="131">
        <v>760.8653095343808</v>
      </c>
      <c r="K1380" s="21">
        <f t="shared" si="66"/>
        <v>185651</v>
      </c>
      <c r="L1380" s="550" t="s">
        <v>166</v>
      </c>
      <c r="M1380" s="550" t="s">
        <v>161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63"/>
    </row>
    <row r="1381" spans="1:26" ht="15.75" hidden="1" customHeight="1">
      <c r="A1381" s="120" t="str">
        <f>IF(B1381&lt;&gt;"",IF(AND(B1381&gt;=_TM1,B1381&lt;=_TM2,OR(TH!L1381="1111",TH!M1381="1111")),TH!D1381,""),"")</f>
        <v/>
      </c>
      <c r="B1381" s="568">
        <f t="shared" si="69"/>
        <v>12</v>
      </c>
      <c r="C1381" s="569">
        <f t="shared" si="68"/>
        <v>42732</v>
      </c>
      <c r="D1381" s="552" t="s">
        <v>1020</v>
      </c>
      <c r="E1381" s="589">
        <v>42732</v>
      </c>
      <c r="F1381" s="592" t="s">
        <v>931</v>
      </c>
      <c r="G1381" s="590" t="s">
        <v>924</v>
      </c>
      <c r="H1381" s="555" t="s">
        <v>1073</v>
      </c>
      <c r="I1381" s="131">
        <v>244</v>
      </c>
      <c r="J1381" s="131">
        <v>608.69224762750468</v>
      </c>
      <c r="K1381" s="21">
        <f t="shared" si="66"/>
        <v>148521</v>
      </c>
      <c r="L1381" s="550" t="s">
        <v>166</v>
      </c>
      <c r="M1381" s="550" t="s">
        <v>161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63"/>
    </row>
    <row r="1382" spans="1:26" ht="15.75" hidden="1" customHeight="1">
      <c r="A1382" s="120" t="str">
        <f>IF(B1382&lt;&gt;"",IF(AND(B1382&gt;=_TM1,B1382&lt;=_TM2,OR(TH!L1382="1111",TH!M1382="1111")),TH!D1382,""),"")</f>
        <v/>
      </c>
      <c r="B1382" s="568">
        <f t="shared" si="69"/>
        <v>12</v>
      </c>
      <c r="C1382" s="569">
        <f t="shared" si="68"/>
        <v>42733</v>
      </c>
      <c r="D1382" s="552" t="s">
        <v>1020</v>
      </c>
      <c r="E1382" s="589">
        <v>42733</v>
      </c>
      <c r="F1382" s="592" t="s">
        <v>935</v>
      </c>
      <c r="G1382" s="590" t="s">
        <v>932</v>
      </c>
      <c r="H1382" s="555" t="s">
        <v>1073</v>
      </c>
      <c r="I1382" s="131">
        <v>650</v>
      </c>
      <c r="J1382" s="131">
        <v>836.95184048781891</v>
      </c>
      <c r="K1382" s="21">
        <f t="shared" si="66"/>
        <v>544019</v>
      </c>
      <c r="L1382" s="550" t="s">
        <v>166</v>
      </c>
      <c r="M1382" s="550" t="s">
        <v>161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63"/>
    </row>
    <row r="1383" spans="1:26" ht="15.75" hidden="1" customHeight="1">
      <c r="A1383" s="120" t="str">
        <f>IF(B1383&lt;&gt;"",IF(AND(B1383&gt;=_TM1,B1383&lt;=_TM2,OR(TH!L1383="1111",TH!M1383="1111")),TH!D1383,""),"")</f>
        <v/>
      </c>
      <c r="B1383" s="568">
        <f t="shared" si="69"/>
        <v>12</v>
      </c>
      <c r="C1383" s="569">
        <f t="shared" si="68"/>
        <v>42734</v>
      </c>
      <c r="D1383" s="552" t="s">
        <v>1020</v>
      </c>
      <c r="E1383" s="589">
        <v>42734</v>
      </c>
      <c r="F1383" s="592" t="s">
        <v>522</v>
      </c>
      <c r="G1383" s="590" t="s">
        <v>934</v>
      </c>
      <c r="H1383" s="555" t="s">
        <v>1073</v>
      </c>
      <c r="I1383" s="131">
        <v>525</v>
      </c>
      <c r="J1383" s="131">
        <v>5554.3167596009798</v>
      </c>
      <c r="K1383" s="21">
        <f t="shared" si="66"/>
        <v>2916016</v>
      </c>
      <c r="L1383" s="550" t="s">
        <v>166</v>
      </c>
      <c r="M1383" s="550" t="s">
        <v>161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63"/>
    </row>
    <row r="1384" spans="1:26" ht="15.75" hidden="1" customHeight="1">
      <c r="A1384" s="120" t="str">
        <f>IF(B1384&lt;&gt;"",IF(AND(B1384&gt;=_TM1,B1384&lt;=_TM2,OR(TH!L1384="1111",TH!M1384="1111")),TH!D1384,""),"")</f>
        <v/>
      </c>
      <c r="B1384" s="568">
        <f t="shared" ref="B1384:B1390" si="70">IF(C1384&lt;&gt;"",MONTH(C1384),"")</f>
        <v>12</v>
      </c>
      <c r="C1384" s="569">
        <f t="shared" ref="C1384:C1390" si="71">E1384</f>
        <v>42734</v>
      </c>
      <c r="D1384" s="552" t="s">
        <v>1020</v>
      </c>
      <c r="E1384" s="589">
        <v>42734</v>
      </c>
      <c r="F1384" s="592" t="s">
        <v>1083</v>
      </c>
      <c r="G1384" s="590" t="s">
        <v>1081</v>
      </c>
      <c r="H1384" s="555" t="s">
        <v>1073</v>
      </c>
      <c r="I1384" s="131">
        <v>7250</v>
      </c>
      <c r="J1384" s="132">
        <v>2130.4228666962663</v>
      </c>
      <c r="K1384" s="21">
        <f t="shared" ref="K1384:K1390" si="72">ROUND(I1384*J1384,0)</f>
        <v>15445566</v>
      </c>
      <c r="L1384" s="550" t="s">
        <v>166</v>
      </c>
      <c r="M1384" s="550" t="s">
        <v>161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63"/>
    </row>
    <row r="1385" spans="1:26" ht="15.75" hidden="1" customHeight="1">
      <c r="A1385" s="120" t="str">
        <f>IF(B1385&lt;&gt;"",IF(AND(B1385&gt;=_TM1,B1385&lt;=_TM2,OR(TH!L1385="1111",TH!M1385="1111")),TH!D1385,""),"")</f>
        <v/>
      </c>
      <c r="B1385" s="568">
        <f t="shared" si="70"/>
        <v>12</v>
      </c>
      <c r="C1385" s="569">
        <f t="shared" si="71"/>
        <v>42734</v>
      </c>
      <c r="D1385" s="552" t="s">
        <v>1020</v>
      </c>
      <c r="E1385" s="589">
        <v>42734</v>
      </c>
      <c r="F1385" s="592" t="s">
        <v>1084</v>
      </c>
      <c r="G1385" s="590" t="s">
        <v>1081</v>
      </c>
      <c r="H1385" s="555" t="s">
        <v>1073</v>
      </c>
      <c r="I1385" s="131">
        <v>9730</v>
      </c>
      <c r="J1385" s="131">
        <v>1673.9036809756378</v>
      </c>
      <c r="K1385" s="21">
        <f t="shared" si="72"/>
        <v>16287083</v>
      </c>
      <c r="L1385" s="550" t="s">
        <v>166</v>
      </c>
      <c r="M1385" s="550" t="s">
        <v>161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63"/>
    </row>
    <row r="1386" spans="1:26" ht="15.75" hidden="1" customHeight="1">
      <c r="A1386" s="120" t="str">
        <f>IF(B1386&lt;&gt;"",IF(AND(B1386&gt;=_TM1,B1386&lt;=_TM2,OR(TH!L1386="1111",TH!M1386="1111")),TH!D1386,""),"")</f>
        <v/>
      </c>
      <c r="B1386" s="568">
        <f t="shared" si="70"/>
        <v>12</v>
      </c>
      <c r="C1386" s="569">
        <f t="shared" si="71"/>
        <v>42734</v>
      </c>
      <c r="D1386" s="552" t="s">
        <v>1020</v>
      </c>
      <c r="E1386" s="589">
        <v>42734</v>
      </c>
      <c r="F1386" s="592" t="s">
        <v>1085</v>
      </c>
      <c r="G1386" s="590" t="s">
        <v>1081</v>
      </c>
      <c r="H1386" s="555" t="s">
        <v>1073</v>
      </c>
      <c r="I1386" s="131">
        <v>375</v>
      </c>
      <c r="J1386" s="131">
        <v>380.4326547671904</v>
      </c>
      <c r="K1386" s="21">
        <f t="shared" si="72"/>
        <v>142662</v>
      </c>
      <c r="L1386" s="550" t="s">
        <v>166</v>
      </c>
      <c r="M1386" s="550" t="s">
        <v>161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63"/>
    </row>
    <row r="1387" spans="1:26" ht="15.75" hidden="1" customHeight="1">
      <c r="A1387" s="120" t="str">
        <f>IF(B1387&lt;&gt;"",IF(AND(B1387&gt;=_TM1,B1387&lt;=_TM2,OR(TH!L1387="1111",TH!M1387="1111")),TH!D1387,""),"")</f>
        <v/>
      </c>
      <c r="B1387" s="568">
        <f t="shared" si="70"/>
        <v>12</v>
      </c>
      <c r="C1387" s="569">
        <f t="shared" si="71"/>
        <v>42734</v>
      </c>
      <c r="D1387" s="552" t="s">
        <v>1020</v>
      </c>
      <c r="E1387" s="589">
        <v>42734</v>
      </c>
      <c r="F1387" s="592" t="s">
        <v>1086</v>
      </c>
      <c r="G1387" s="590" t="s">
        <v>1081</v>
      </c>
      <c r="H1387" s="555" t="s">
        <v>1073</v>
      </c>
      <c r="I1387" s="131">
        <v>500</v>
      </c>
      <c r="J1387" s="131">
        <v>21912.920914590166</v>
      </c>
      <c r="K1387" s="21">
        <f t="shared" si="72"/>
        <v>10956460</v>
      </c>
      <c r="L1387" s="550" t="s">
        <v>166</v>
      </c>
      <c r="M1387" s="550" t="s">
        <v>161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63"/>
    </row>
    <row r="1388" spans="1:26" ht="15.75" hidden="1" customHeight="1">
      <c r="A1388" s="120" t="str">
        <f>IF(B1388&lt;&gt;"",IF(AND(B1388&gt;=_TM1,B1388&lt;=_TM2,OR(TH!L1388="1111",TH!M1388="1111")),TH!D1388,""),"")</f>
        <v/>
      </c>
      <c r="B1388" s="568">
        <f t="shared" si="70"/>
        <v>12</v>
      </c>
      <c r="C1388" s="569">
        <f t="shared" si="71"/>
        <v>42734</v>
      </c>
      <c r="D1388" s="552" t="s">
        <v>1020</v>
      </c>
      <c r="E1388" s="589">
        <v>42734</v>
      </c>
      <c r="F1388" s="592" t="s">
        <v>1087</v>
      </c>
      <c r="G1388" s="590" t="s">
        <v>1081</v>
      </c>
      <c r="H1388" s="555" t="s">
        <v>1073</v>
      </c>
      <c r="I1388" s="131">
        <v>2375</v>
      </c>
      <c r="J1388" s="131">
        <v>1217.3844952550094</v>
      </c>
      <c r="K1388" s="21">
        <f t="shared" si="72"/>
        <v>2891288</v>
      </c>
      <c r="L1388" s="550" t="s">
        <v>166</v>
      </c>
      <c r="M1388" s="550" t="s">
        <v>161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63"/>
    </row>
    <row r="1389" spans="1:26" ht="15.75" hidden="1" customHeight="1">
      <c r="A1389" s="120" t="str">
        <f>IF(B1389&lt;&gt;"",IF(AND(B1389&gt;=_TM1,B1389&lt;=_TM2,OR(TH!L1389="1111",TH!M1389="1111")),TH!D1389,""),"")</f>
        <v/>
      </c>
      <c r="B1389" s="568">
        <f t="shared" si="70"/>
        <v>12</v>
      </c>
      <c r="C1389" s="569">
        <f t="shared" si="71"/>
        <v>42734</v>
      </c>
      <c r="D1389" s="552" t="s">
        <v>1020</v>
      </c>
      <c r="E1389" s="589">
        <v>42734</v>
      </c>
      <c r="F1389" s="592" t="s">
        <v>1088</v>
      </c>
      <c r="G1389" s="590" t="s">
        <v>1081</v>
      </c>
      <c r="H1389" s="555" t="s">
        <v>1073</v>
      </c>
      <c r="I1389" s="131">
        <v>200</v>
      </c>
      <c r="J1389" s="131">
        <v>2739.1151143237707</v>
      </c>
      <c r="K1389" s="21">
        <f t="shared" si="72"/>
        <v>547823</v>
      </c>
      <c r="L1389" s="550" t="s">
        <v>166</v>
      </c>
      <c r="M1389" s="550" t="s">
        <v>161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63"/>
    </row>
    <row r="1390" spans="1:26" ht="15.75" hidden="1" customHeight="1">
      <c r="A1390" s="120" t="str">
        <f>IF(B1390&lt;&gt;"",IF(AND(B1390&gt;=_TM1,B1390&lt;=_TM2,OR(TH!L1390="1111",TH!M1390="1111")),TH!D1390,""),"")</f>
        <v/>
      </c>
      <c r="B1390" s="568">
        <f t="shared" si="70"/>
        <v>12</v>
      </c>
      <c r="C1390" s="569">
        <f t="shared" si="71"/>
        <v>42734</v>
      </c>
      <c r="D1390" s="552" t="s">
        <v>1020</v>
      </c>
      <c r="E1390" s="589">
        <v>42734</v>
      </c>
      <c r="F1390" s="592" t="s">
        <v>1089</v>
      </c>
      <c r="G1390" s="590" t="s">
        <v>1081</v>
      </c>
      <c r="H1390" s="555" t="s">
        <v>1073</v>
      </c>
      <c r="I1390" s="131">
        <v>2000</v>
      </c>
      <c r="J1390" s="132">
        <v>1065.2114333481331</v>
      </c>
      <c r="K1390" s="21">
        <f t="shared" si="72"/>
        <v>2130423</v>
      </c>
      <c r="L1390" s="550" t="s">
        <v>166</v>
      </c>
      <c r="M1390" s="550" t="s">
        <v>161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63"/>
    </row>
    <row r="1391" spans="1:26" ht="15.75" hidden="1" customHeight="1">
      <c r="A1391" s="120" t="str">
        <f>IF(B1391&lt;&gt;"",IF(AND(B1391&gt;=_TM1,B1391&lt;=_TM2,OR(TH!L1391="1111",TH!M1391="1111")),TH!D1391,""),"")</f>
        <v/>
      </c>
      <c r="B1391" s="568">
        <f t="shared" si="69"/>
        <v>12</v>
      </c>
      <c r="C1391" s="569">
        <f t="shared" si="68"/>
        <v>42735</v>
      </c>
      <c r="D1391" s="552" t="s">
        <v>1020</v>
      </c>
      <c r="E1391" s="589">
        <v>42735</v>
      </c>
      <c r="F1391" s="592" t="s">
        <v>500</v>
      </c>
      <c r="G1391" s="590" t="s">
        <v>942</v>
      </c>
      <c r="H1391" s="555" t="s">
        <v>1073</v>
      </c>
      <c r="I1391" s="131">
        <v>1808</v>
      </c>
      <c r="J1391" s="131">
        <v>8673.86452869194</v>
      </c>
      <c r="K1391" s="21">
        <f t="shared" si="66"/>
        <v>15682347</v>
      </c>
      <c r="L1391" s="550" t="s">
        <v>166</v>
      </c>
      <c r="M1391" s="550" t="s">
        <v>161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63"/>
    </row>
    <row r="1392" spans="1:26" ht="15.75" hidden="1" customHeight="1">
      <c r="A1392" s="120" t="str">
        <f>IF(B1392&lt;&gt;"",IF(AND(B1392&gt;=_TM1,B1392&lt;=_TM2,OR(TH!L1392="1111",TH!M1392="1111")),TH!D1392,""),"")</f>
        <v/>
      </c>
      <c r="B1392" s="568">
        <f t="shared" si="69"/>
        <v>12</v>
      </c>
      <c r="C1392" s="569">
        <f t="shared" si="68"/>
        <v>42735</v>
      </c>
      <c r="D1392" s="552" t="s">
        <v>1020</v>
      </c>
      <c r="E1392" s="589">
        <v>42735</v>
      </c>
      <c r="F1392" s="592" t="s">
        <v>375</v>
      </c>
      <c r="G1392" s="590" t="s">
        <v>942</v>
      </c>
      <c r="H1392" s="555" t="s">
        <v>1073</v>
      </c>
      <c r="I1392" s="131">
        <v>3616</v>
      </c>
      <c r="J1392" s="131">
        <v>684.77877858094269</v>
      </c>
      <c r="K1392" s="21">
        <f t="shared" si="66"/>
        <v>2476160</v>
      </c>
      <c r="L1392" s="550" t="s">
        <v>166</v>
      </c>
      <c r="M1392" s="550" t="s">
        <v>161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63"/>
    </row>
    <row r="1393" spans="1:26" ht="15.75" hidden="1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3">IF(C1393&lt;&gt;"",MONTH(C1393),"")</f>
        <v/>
      </c>
      <c r="C1393" s="105"/>
      <c r="D1393" s="110"/>
      <c r="E1393" s="105"/>
      <c r="F1393" s="111"/>
      <c r="G1393" s="298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63"/>
    </row>
    <row r="1394" spans="1:26" ht="15.75" hidden="1" customHeight="1">
      <c r="A1394" s="120" t="str">
        <f>IF(B1394&lt;&gt;"",IF(AND(B1394&gt;=_TM1,B1394&lt;=_TM2,OR(TH!L1394="1111",TH!M1394="1111")),TH!D1394,""),"")</f>
        <v/>
      </c>
      <c r="B1394" s="12" t="str">
        <f t="shared" si="73"/>
        <v/>
      </c>
      <c r="C1394" s="105"/>
      <c r="D1394" s="110"/>
      <c r="E1394" s="105"/>
      <c r="F1394" s="109"/>
      <c r="G1394" s="298"/>
      <c r="H1394" s="4"/>
      <c r="I1394" s="133"/>
      <c r="J1394" s="133"/>
      <c r="K1394" s="401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63"/>
    </row>
    <row r="1395" spans="1:26" ht="15.75" hidden="1" customHeight="1">
      <c r="A1395" s="120" t="str">
        <f>IF(B1395&lt;&gt;"",IF(AND(B1395&gt;=_TM1,B1395&lt;=_TM2,OR(TH!L1395="1111",TH!M1395="1111")),TH!D1395,""),"")</f>
        <v/>
      </c>
      <c r="B1395" s="12" t="str">
        <f t="shared" si="73"/>
        <v/>
      </c>
      <c r="C1395" s="105"/>
      <c r="D1395" s="110"/>
      <c r="E1395" s="105"/>
      <c r="F1395" s="109"/>
      <c r="G1395" s="298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63"/>
    </row>
    <row r="1396" spans="1:26" ht="15.75" hidden="1" customHeight="1">
      <c r="A1396" s="120" t="str">
        <f>IF(B1396&lt;&gt;"",IF(AND(B1396&gt;=_TM1,B1396&lt;=_TM2,OR(TH!L1396="1111",TH!M1396="1111")),TH!D1396,""),"")</f>
        <v/>
      </c>
      <c r="B1396" s="12" t="str">
        <f t="shared" si="73"/>
        <v/>
      </c>
      <c r="C1396" s="105"/>
      <c r="D1396" s="110"/>
      <c r="E1396" s="105"/>
      <c r="F1396" s="109"/>
      <c r="G1396" s="298"/>
      <c r="H1396" s="4"/>
      <c r="I1396" s="133"/>
      <c r="J1396" s="133"/>
      <c r="K1396" s="401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63"/>
    </row>
    <row r="1397" spans="1:26">
      <c r="A1397" s="121"/>
      <c r="B1397" s="116"/>
      <c r="C1397" s="116"/>
      <c r="D1397" s="116"/>
      <c r="E1397" s="116"/>
      <c r="F1397" s="116"/>
      <c r="G1397" s="299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99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99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99"/>
      <c r="H1400" s="498"/>
      <c r="I1400" s="126"/>
      <c r="J1400" s="126"/>
      <c r="K1400" s="295">
        <f>SUBTOTAL(9,K10:K1396)</f>
        <v>1106967868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>
    <filterColumn colId="11">
      <filters>
        <filter val="131"/>
        <filter val="1331"/>
        <filter val="154"/>
        <filter val="331"/>
        <filter val="33382"/>
        <filter val="641"/>
        <filter val="642"/>
      </filters>
    </filterColumn>
    <filterColumn colId="12">
      <filters>
        <filter val="1111"/>
        <filter val="1121"/>
      </filters>
    </filterColumn>
  </autoFilter>
  <sortState ref="A17:AE843">
    <sortCondition ref="C17:C843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505" customWidth="1"/>
    <col min="2" max="2" width="9.28515625" style="505" customWidth="1"/>
    <col min="3" max="3" width="10" style="505" customWidth="1"/>
    <col min="4" max="4" width="41.42578125" style="505" customWidth="1"/>
    <col min="5" max="5" width="6" style="505" customWidth="1"/>
    <col min="6" max="6" width="7.85546875" style="505" customWidth="1"/>
    <col min="7" max="7" width="8.5703125" style="505" customWidth="1"/>
    <col min="8" max="8" width="13.85546875" style="505" customWidth="1"/>
    <col min="9" max="9" width="14.140625" style="505" customWidth="1"/>
    <col min="10" max="11" width="9.140625" style="505"/>
    <col min="12" max="12" width="3.5703125" style="505" customWidth="1"/>
    <col min="13" max="14" width="9.140625" style="505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652" t="str">
        <f>TH!A1</f>
        <v>Đơn vị: CÔNG TY TNHH BAO BÌ GIẤY KIM DUNG PHÁT</v>
      </c>
      <c r="F1" s="826" t="s">
        <v>330</v>
      </c>
      <c r="G1" s="826"/>
      <c r="H1" s="826"/>
      <c r="I1" s="826"/>
    </row>
    <row r="2" spans="1:14">
      <c r="A2" s="505" t="str">
        <f>TH!A2</f>
        <v>Địa chỉ: Ấp Rừng Sến, xã Mỹ Hạnh Bắc, Huyện Đức Hòa, Tỉnh Long An, Việt Nam</v>
      </c>
      <c r="F2" s="825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25"/>
      <c r="H2" s="825"/>
      <c r="I2" s="825"/>
    </row>
    <row r="3" spans="1:14">
      <c r="F3" s="825"/>
      <c r="G3" s="825"/>
      <c r="H3" s="825"/>
      <c r="I3" s="825"/>
    </row>
    <row r="4" spans="1:14">
      <c r="H4" s="521"/>
      <c r="I4" s="521"/>
    </row>
    <row r="5" spans="1:14" ht="26.25" customHeight="1">
      <c r="B5" s="652"/>
      <c r="C5" s="652"/>
      <c r="D5" s="655" t="s">
        <v>331</v>
      </c>
      <c r="E5" s="652"/>
      <c r="F5" s="652"/>
      <c r="G5" s="652"/>
      <c r="H5" s="652"/>
      <c r="I5" s="652"/>
      <c r="J5" s="652"/>
      <c r="K5" s="652"/>
    </row>
    <row r="6" spans="1:14">
      <c r="B6" s="653"/>
      <c r="C6" s="653"/>
      <c r="D6" s="654" t="str">
        <f ca="1">$K$9&amp;"   -   Năm:  " &amp;YEAR(A11)</f>
        <v>Quý III   -   Năm:  2016</v>
      </c>
      <c r="E6" s="653"/>
      <c r="F6" s="653"/>
      <c r="G6" s="653"/>
      <c r="H6" s="653"/>
      <c r="I6" s="653"/>
      <c r="J6" s="653"/>
      <c r="K6" s="653"/>
    </row>
    <row r="7" spans="1:14">
      <c r="A7" s="504"/>
      <c r="B7" s="504"/>
      <c r="C7" s="504"/>
      <c r="D7" s="504"/>
      <c r="E7" s="504"/>
      <c r="F7" s="504"/>
      <c r="G7" s="504"/>
      <c r="H7" s="829" t="s">
        <v>118</v>
      </c>
      <c r="I7" s="829"/>
      <c r="J7" s="504"/>
      <c r="K7" s="504"/>
      <c r="M7" s="828" t="s">
        <v>322</v>
      </c>
      <c r="N7" s="828"/>
    </row>
    <row r="8" spans="1:14" ht="23.25" customHeight="1" thickBot="1">
      <c r="A8" s="830" t="s">
        <v>332</v>
      </c>
      <c r="B8" s="832" t="s">
        <v>1</v>
      </c>
      <c r="C8" s="833"/>
      <c r="D8" s="834" t="s">
        <v>0</v>
      </c>
      <c r="E8" s="830" t="s">
        <v>333</v>
      </c>
      <c r="F8" s="827" t="s">
        <v>93</v>
      </c>
      <c r="G8" s="827"/>
      <c r="H8" s="832" t="s">
        <v>21</v>
      </c>
      <c r="I8" s="833"/>
      <c r="J8" s="504"/>
      <c r="K8" s="504"/>
      <c r="M8" s="506">
        <f>IF(K9="Quý I",1,IF(K9="Quý II",4,IF(K9="Quý III",7,IF(K9="Quý IV",10,""))))</f>
        <v>7</v>
      </c>
      <c r="N8" s="506">
        <f>IF(K9="Quý I",3,IF(K9="Quý II",6,IF(K9="Quý III",9,IF(K9="Quý IV",12,""))))</f>
        <v>9</v>
      </c>
    </row>
    <row r="9" spans="1:14" ht="28.5" customHeight="1" thickBot="1">
      <c r="A9" s="831"/>
      <c r="B9" s="507" t="s">
        <v>15</v>
      </c>
      <c r="C9" s="507" t="s">
        <v>31</v>
      </c>
      <c r="D9" s="835"/>
      <c r="E9" s="831"/>
      <c r="F9" s="632" t="s">
        <v>22</v>
      </c>
      <c r="G9" s="632" t="s">
        <v>23</v>
      </c>
      <c r="H9" s="507" t="s">
        <v>334</v>
      </c>
      <c r="I9" s="507" t="s">
        <v>23</v>
      </c>
      <c r="K9" s="448" t="s">
        <v>358</v>
      </c>
    </row>
    <row r="10" spans="1:14" ht="21" customHeight="1">
      <c r="A10" s="508"/>
      <c r="B10" s="508"/>
      <c r="C10" s="508"/>
      <c r="D10" s="509" t="s">
        <v>337</v>
      </c>
      <c r="E10" s="510"/>
      <c r="F10" s="508"/>
      <c r="G10" s="508"/>
      <c r="H10" s="511">
        <f>SUMIF(_M,"&lt;"&amp;$M$8,TH)</f>
        <v>360238000</v>
      </c>
      <c r="I10" s="511">
        <f>SUMIF(_M,"&lt;"&amp;$M$8,TH)</f>
        <v>360238000</v>
      </c>
    </row>
    <row r="11" spans="1:14" ht="21" customHeight="1">
      <c r="A11" s="512">
        <f ca="1">IF(ROWS($1:1)&gt;COUNT(Dong6),"",OFFSET(TH!C$1,SMALL(Dong6,ROWS($1:1)),))</f>
        <v>42552</v>
      </c>
      <c r="B11" s="513" t="str">
        <f ca="1">IF(ROWS($1:1)&gt;COUNT(Dong6),"",OFFSET(TH!D$1,SMALL(Dong6,ROWS($1:1)),))</f>
        <v>T01</v>
      </c>
      <c r="C11" s="512">
        <f ca="1">IF(ROWS($1:1)&gt;COUNT(Dong6),"",OFFSET(TH!E$1,SMALL(Dong6,ROWS($1:1)),))</f>
        <v>42516</v>
      </c>
      <c r="D11" s="514" t="str">
        <f ca="1">IF(ROWS($1:1)&gt;COUNT(Dong6),"",OFFSET(TH!F$1,SMALL(Dong6,ROWS($1:1)),))</f>
        <v>Thu vốn góp</v>
      </c>
      <c r="E11" s="513">
        <f t="shared" ref="E11:E40" ca="1" si="0">IF(D11&lt;&gt;"",ROW()-10,"")</f>
        <v>1</v>
      </c>
      <c r="F11" s="515" t="str">
        <f ca="1">IF(ROWS($1:1)&gt;COUNT(Dong6),"",OFFSET(TH!L$1,SMALL(Dong6,ROWS($1:1)),))</f>
        <v>1111</v>
      </c>
      <c r="G11" s="515" t="str">
        <f ca="1">IF(ROWS($1:1)&gt;COUNT(Dong6),"",OFFSET(TH!M$1,SMALL(Dong6,ROWS($1:1)),))</f>
        <v>4111</v>
      </c>
      <c r="H11" s="447">
        <f ca="1">IF(ROWS($1:1)&gt;COUNT(Dong6),"",OFFSET(TH!K$1,SMALL(Dong6,ROWS($1:1)),))</f>
        <v>1800000000</v>
      </c>
      <c r="I11" s="447">
        <f ca="1">IF(ROWS($1:1)&gt;COUNT(Dong6),"",OFFSET(TH!K$1,SMALL(Dong6,ROWS($1:1)),))</f>
        <v>1800000000</v>
      </c>
    </row>
    <row r="12" spans="1:14" ht="21" customHeight="1">
      <c r="A12" s="512">
        <f ca="1">IF(ROWS($1:2)&gt;COUNT(Dong6),"",OFFSET(TH!C$1,SMALL(Dong6,ROWS($1:2)),))</f>
        <v>42552</v>
      </c>
      <c r="B12" s="513" t="str">
        <f ca="1">IF(ROWS($1:2)&gt;COUNT(Dong6),"",OFFSET(TH!D$1,SMALL(Dong6,ROWS($1:2)),))</f>
        <v>C01</v>
      </c>
      <c r="C12" s="512">
        <f ca="1">IF(ROWS($1:2)&gt;COUNT(Dong6),"",OFFSET(TH!E$1,SMALL(Dong6,ROWS($1:2)),))</f>
        <v>42516</v>
      </c>
      <c r="D12" s="514" t="str">
        <f ca="1">IF(ROWS($1:2)&gt;COUNT(Dong6),"",OFFSET(TH!F$1,SMALL(Dong6,ROWS($1:2)),))</f>
        <v>Nộp tiền mặt</v>
      </c>
      <c r="E12" s="513">
        <f t="shared" ca="1" si="0"/>
        <v>2</v>
      </c>
      <c r="F12" s="515" t="str">
        <f ca="1">IF(ROWS($1:2)&gt;COUNT(Dong6),"",OFFSET(TH!L$1,SMALL(Dong6,ROWS($1:2)),))</f>
        <v>1121</v>
      </c>
      <c r="G12" s="515" t="str">
        <f ca="1">IF(ROWS($1:2)&gt;COUNT(Dong6),"",OFFSET(TH!M$1,SMALL(Dong6,ROWS($1:2)),))</f>
        <v>1111</v>
      </c>
      <c r="H12" s="447">
        <f ca="1">IF(ROWS($1:2)&gt;COUNT(Dong6),"",OFFSET(TH!K$1,SMALL(Dong6,ROWS($1:2)),))</f>
        <v>2200000</v>
      </c>
      <c r="I12" s="447">
        <f ca="1">IF(ROWS($1:2)&gt;COUNT(Dong6),"",OFFSET(TH!K$1,SMALL(Dong6,ROWS($1:2)),))</f>
        <v>2200000</v>
      </c>
    </row>
    <row r="13" spans="1:14" ht="21" customHeight="1">
      <c r="A13" s="512">
        <f ca="1">IF(ROWS($1:3)&gt;COUNT(Dong6),"",OFFSET(TH!C$1,SMALL(Dong6,ROWS($1:3)),))</f>
        <v>42552</v>
      </c>
      <c r="B13" s="513" t="str">
        <f ca="1">IF(ROWS($1:3)&gt;COUNT(Dong6),"",OFFSET(TH!D$1,SMALL(Dong6,ROWS($1:3)),))</f>
        <v>C02</v>
      </c>
      <c r="C13" s="512">
        <f ca="1">IF(ROWS($1:3)&gt;COUNT(Dong6),"",OFFSET(TH!E$1,SMALL(Dong6,ROWS($1:3)),))</f>
        <v>42508</v>
      </c>
      <c r="D13" s="514" t="str">
        <f ca="1">IF(ROWS($1:3)&gt;COUNT(Dong6),"",OFFSET(TH!F$1,SMALL(Dong6,ROWS($1:3)),))</f>
        <v>Chữ ký số</v>
      </c>
      <c r="E13" s="513">
        <f t="shared" ca="1" si="0"/>
        <v>3</v>
      </c>
      <c r="F13" s="515" t="str">
        <f ca="1">IF(ROWS($1:3)&gt;COUNT(Dong6),"",OFFSET(TH!L$1,SMALL(Dong6,ROWS($1:3)),))</f>
        <v>642</v>
      </c>
      <c r="G13" s="515" t="str">
        <f ca="1">IF(ROWS($1:3)&gt;COUNT(Dong6),"",OFFSET(TH!M$1,SMALL(Dong6,ROWS($1:3)),))</f>
        <v>1111</v>
      </c>
      <c r="H13" s="447">
        <f ca="1">IF(ROWS($1:3)&gt;COUNT(Dong6),"",OFFSET(TH!K$1,SMALL(Dong6,ROWS($1:3)),))</f>
        <v>2160000</v>
      </c>
      <c r="I13" s="447">
        <f ca="1">IF(ROWS($1:3)&gt;COUNT(Dong6),"",OFFSET(TH!K$1,SMALL(Dong6,ROWS($1:3)),))</f>
        <v>2160000</v>
      </c>
    </row>
    <row r="14" spans="1:14" ht="21" customHeight="1">
      <c r="A14" s="512">
        <f ca="1">IF(ROWS($1:4)&gt;COUNT(Dong6),"",OFFSET(TH!C$1,SMALL(Dong6,ROWS($1:4)),))</f>
        <v>42552</v>
      </c>
      <c r="B14" s="513" t="str">
        <f ca="1">IF(ROWS($1:4)&gt;COUNT(Dong6),"",OFFSET(TH!D$1,SMALL(Dong6,ROWS($1:4)),))</f>
        <v>C02</v>
      </c>
      <c r="C14" s="512">
        <f ca="1">IF(ROWS($1:4)&gt;COUNT(Dong6),"",OFFSET(TH!E$1,SMALL(Dong6,ROWS($1:4)),))</f>
        <v>42508</v>
      </c>
      <c r="D14" s="514" t="str">
        <f ca="1">IF(ROWS($1:4)&gt;COUNT(Dong6),"",OFFSET(TH!F$1,SMALL(Dong6,ROWS($1:4)),))</f>
        <v>VAT Chữ ký số</v>
      </c>
      <c r="E14" s="513">
        <f t="shared" ca="1" si="0"/>
        <v>4</v>
      </c>
      <c r="F14" s="515" t="str">
        <f ca="1">IF(ROWS($1:4)&gt;COUNT(Dong6),"",OFFSET(TH!L$1,SMALL(Dong6,ROWS($1:4)),))</f>
        <v>1331</v>
      </c>
      <c r="G14" s="515" t="str">
        <f ca="1">IF(ROWS($1:4)&gt;COUNT(Dong6),"",OFFSET(TH!M$1,SMALL(Dong6,ROWS($1:4)),))</f>
        <v>1111</v>
      </c>
      <c r="H14" s="447">
        <f ca="1">IF(ROWS($1:4)&gt;COUNT(Dong6),"",OFFSET(TH!K$1,SMALL(Dong6,ROWS($1:4)),))</f>
        <v>216000</v>
      </c>
      <c r="I14" s="447">
        <f ca="1">IF(ROWS($1:4)&gt;COUNT(Dong6),"",OFFSET(TH!K$1,SMALL(Dong6,ROWS($1:4)),))</f>
        <v>216000</v>
      </c>
    </row>
    <row r="15" spans="1:14" ht="21" customHeight="1">
      <c r="A15" s="512">
        <f ca="1">IF(ROWS($1:5)&gt;COUNT(Dong6),"",OFFSET(TH!C$1,SMALL(Dong6,ROWS($1:5)),))</f>
        <v>42552</v>
      </c>
      <c r="B15" s="513" t="str">
        <f ca="1">IF(ROWS($1:5)&gt;COUNT(Dong6),"",OFFSET(TH!D$1,SMALL(Dong6,ROWS($1:5)),))</f>
        <v>GBN</v>
      </c>
      <c r="C15" s="512">
        <f ca="1">IF(ROWS($1:5)&gt;COUNT(Dong6),"",OFFSET(TH!E$1,SMALL(Dong6,ROWS($1:5)),))</f>
        <v>42516</v>
      </c>
      <c r="D15" s="514" t="str">
        <f ca="1">IF(ROWS($1:5)&gt;COUNT(Dong6),"",OFFSET(TH!F$1,SMALL(Dong6,ROWS($1:5)),))</f>
        <v>Phí bán 2 cuốn sec</v>
      </c>
      <c r="E15" s="513">
        <f t="shared" ca="1" si="0"/>
        <v>5</v>
      </c>
      <c r="F15" s="515" t="str">
        <f ca="1">IF(ROWS($1:5)&gt;COUNT(Dong6),"",OFFSET(TH!L$1,SMALL(Dong6,ROWS($1:5)),))</f>
        <v>642</v>
      </c>
      <c r="G15" s="515" t="str">
        <f ca="1">IF(ROWS($1:5)&gt;COUNT(Dong6),"",OFFSET(TH!M$1,SMALL(Dong6,ROWS($1:5)),))</f>
        <v>1121</v>
      </c>
      <c r="H15" s="447">
        <f ca="1">IF(ROWS($1:5)&gt;COUNT(Dong6),"",OFFSET(TH!K$1,SMALL(Dong6,ROWS($1:5)),))</f>
        <v>20000</v>
      </c>
      <c r="I15" s="447">
        <f ca="1">IF(ROWS($1:5)&gt;COUNT(Dong6),"",OFFSET(TH!K$1,SMALL(Dong6,ROWS($1:5)),))</f>
        <v>20000</v>
      </c>
    </row>
    <row r="16" spans="1:14" ht="21" customHeight="1">
      <c r="A16" s="512">
        <f ca="1">IF(ROWS($1:6)&gt;COUNT(Dong6),"",OFFSET(TH!C$1,SMALL(Dong6,ROWS($1:6)),))</f>
        <v>42552</v>
      </c>
      <c r="B16" s="513" t="str">
        <f ca="1">IF(ROWS($1:6)&gt;COUNT(Dong6),"",OFFSET(TH!D$1,SMALL(Dong6,ROWS($1:6)),))</f>
        <v>GBN</v>
      </c>
      <c r="C16" s="512">
        <f ca="1">IF(ROWS($1:6)&gt;COUNT(Dong6),"",OFFSET(TH!E$1,SMALL(Dong6,ROWS($1:6)),))</f>
        <v>42516</v>
      </c>
      <c r="D16" s="514" t="str">
        <f ca="1">IF(ROWS($1:6)&gt;COUNT(Dong6),"",OFFSET(TH!F$1,SMALL(Dong6,ROWS($1:6)),))</f>
        <v>VAT Phí bán 2 cuốn sec</v>
      </c>
      <c r="E16" s="513">
        <f t="shared" ca="1" si="0"/>
        <v>6</v>
      </c>
      <c r="F16" s="515" t="str">
        <f ca="1">IF(ROWS($1:6)&gt;COUNT(Dong6),"",OFFSET(TH!L$1,SMALL(Dong6,ROWS($1:6)),))</f>
        <v>1331</v>
      </c>
      <c r="G16" s="515" t="str">
        <f ca="1">IF(ROWS($1:6)&gt;COUNT(Dong6),"",OFFSET(TH!M$1,SMALL(Dong6,ROWS($1:6)),))</f>
        <v>1121</v>
      </c>
      <c r="H16" s="447">
        <f ca="1">IF(ROWS($1:6)&gt;COUNT(Dong6),"",OFFSET(TH!K$1,SMALL(Dong6,ROWS($1:6)),))</f>
        <v>2000</v>
      </c>
      <c r="I16" s="447">
        <f ca="1">IF(ROWS($1:6)&gt;COUNT(Dong6),"",OFFSET(TH!K$1,SMALL(Dong6,ROWS($1:6)),))</f>
        <v>2000</v>
      </c>
    </row>
    <row r="17" spans="1:9" ht="21" customHeight="1">
      <c r="A17" s="512">
        <f ca="1">IF(ROWS($1:7)&gt;COUNT(Dong6),"",OFFSET(TH!C$1,SMALL(Dong6,ROWS($1:7)),))</f>
        <v>42552</v>
      </c>
      <c r="B17" s="513" t="str">
        <f ca="1">IF(ROWS($1:7)&gt;COUNT(Dong6),"",OFFSET(TH!D$1,SMALL(Dong6,ROWS($1:7)),))</f>
        <v>C03</v>
      </c>
      <c r="C17" s="512">
        <f ca="1">IF(ROWS($1:7)&gt;COUNT(Dong6),"",OFFSET(TH!E$1,SMALL(Dong6,ROWS($1:7)),))</f>
        <v>42508</v>
      </c>
      <c r="D17" s="514" t="str">
        <f ca="1">IF(ROWS($1:7)&gt;COUNT(Dong6),"",OFFSET(TH!F$1,SMALL(Dong6,ROWS($1:7)),))</f>
        <v>Nộp thuế môn bài</v>
      </c>
      <c r="E17" s="513">
        <f t="shared" ca="1" si="0"/>
        <v>7</v>
      </c>
      <c r="F17" s="515" t="str">
        <f ca="1">IF(ROWS($1:7)&gt;COUNT(Dong6),"",OFFSET(TH!L$1,SMALL(Dong6,ROWS($1:7)),))</f>
        <v>33382</v>
      </c>
      <c r="G17" s="515" t="str">
        <f ca="1">IF(ROWS($1:7)&gt;COUNT(Dong6),"",OFFSET(TH!M$1,SMALL(Dong6,ROWS($1:7)),))</f>
        <v>1111</v>
      </c>
      <c r="H17" s="447">
        <f ca="1">IF(ROWS($1:7)&gt;COUNT(Dong6),"",OFFSET(TH!K$1,SMALL(Dong6,ROWS($1:7)),))</f>
        <v>1000000</v>
      </c>
      <c r="I17" s="447">
        <f ca="1">IF(ROWS($1:7)&gt;COUNT(Dong6),"",OFFSET(TH!K$1,SMALL(Dong6,ROWS($1:7)),))</f>
        <v>1000000</v>
      </c>
    </row>
    <row r="18" spans="1:9" ht="21" customHeight="1">
      <c r="A18" s="512">
        <f ca="1">IF(ROWS($1:8)&gt;COUNT(Dong6),"",OFFSET(TH!C$1,SMALL(Dong6,ROWS($1:8)),))</f>
        <v>42552</v>
      </c>
      <c r="B18" s="513" t="str">
        <f ca="1">IF(ROWS($1:8)&gt;COUNT(Dong6),"",OFFSET(TH!D$1,SMALL(Dong6,ROWS($1:8)),))</f>
        <v>CTGS</v>
      </c>
      <c r="C18" s="512">
        <f ca="1">IF(ROWS($1:8)&gt;COUNT(Dong6),"",OFFSET(TH!E$1,SMALL(Dong6,ROWS($1:8)),))</f>
        <v>42508</v>
      </c>
      <c r="D18" s="514" t="str">
        <f ca="1">IF(ROWS($1:8)&gt;COUNT(Dong6),"",OFFSET(TH!F$1,SMALL(Dong6,ROWS($1:8)),))</f>
        <v>Thuế môn bài phải nộp</v>
      </c>
      <c r="E18" s="513">
        <f t="shared" ca="1" si="0"/>
        <v>8</v>
      </c>
      <c r="F18" s="515" t="str">
        <f ca="1">IF(ROWS($1:8)&gt;COUNT(Dong6),"",OFFSET(TH!L$1,SMALL(Dong6,ROWS($1:8)),))</f>
        <v>642</v>
      </c>
      <c r="G18" s="515" t="str">
        <f ca="1">IF(ROWS($1:8)&gt;COUNT(Dong6),"",OFFSET(TH!M$1,SMALL(Dong6,ROWS($1:8)),))</f>
        <v>33382</v>
      </c>
      <c r="H18" s="447">
        <f ca="1">IF(ROWS($1:8)&gt;COUNT(Dong6),"",OFFSET(TH!K$1,SMALL(Dong6,ROWS($1:8)),))</f>
        <v>1000000</v>
      </c>
      <c r="I18" s="447">
        <f ca="1">IF(ROWS($1:8)&gt;COUNT(Dong6),"",OFFSET(TH!K$1,SMALL(Dong6,ROWS($1:8)),))</f>
        <v>1000000</v>
      </c>
    </row>
    <row r="19" spans="1:9" ht="21" customHeight="1">
      <c r="A19" s="512">
        <f ca="1">IF(ROWS($1:9)&gt;COUNT(Dong6),"",OFFSET(TH!C$1,SMALL(Dong6,ROWS($1:9)),))</f>
        <v>42552</v>
      </c>
      <c r="B19" s="513" t="str">
        <f ca="1">IF(ROWS($1:9)&gt;COUNT(Dong6),"",OFFSET(TH!D$1,SMALL(Dong6,ROWS($1:9)),))</f>
        <v>NL/N01</v>
      </c>
      <c r="C19" s="512">
        <f ca="1">IF(ROWS($1:9)&gt;COUNT(Dong6),"",OFFSET(TH!E$1,SMALL(Dong6,ROWS($1:9)),))</f>
        <v>42529</v>
      </c>
      <c r="D19" s="514" t="str">
        <f ca="1">IF(ROWS($1:9)&gt;COUNT(Dong6),"",OFFSET(TH!F$1,SMALL(Dong6,ROWS($1:9)),))</f>
        <v>Giấy cuộn xeo</v>
      </c>
      <c r="E19" s="513">
        <f t="shared" ca="1" si="0"/>
        <v>9</v>
      </c>
      <c r="F19" s="515" t="str">
        <f ca="1">IF(ROWS($1:9)&gt;COUNT(Dong6),"",OFFSET(TH!L$1,SMALL(Dong6,ROWS($1:9)),))</f>
        <v>1521</v>
      </c>
      <c r="G19" s="515" t="str">
        <f ca="1">IF(ROWS($1:9)&gt;COUNT(Dong6),"",OFFSET(TH!M$1,SMALL(Dong6,ROWS($1:9)),))</f>
        <v>331</v>
      </c>
      <c r="H19" s="447">
        <f ca="1">IF(ROWS($1:9)&gt;COUNT(Dong6),"",OFFSET(TH!K$1,SMALL(Dong6,ROWS($1:9)),))</f>
        <v>77160000</v>
      </c>
      <c r="I19" s="447">
        <f ca="1">IF(ROWS($1:9)&gt;COUNT(Dong6),"",OFFSET(TH!K$1,SMALL(Dong6,ROWS($1:9)),))</f>
        <v>77160000</v>
      </c>
    </row>
    <row r="20" spans="1:9" ht="21" customHeight="1">
      <c r="A20" s="512">
        <f ca="1">IF(ROWS($1:10)&gt;COUNT(Dong6),"",OFFSET(TH!C$1,SMALL(Dong6,ROWS($1:10)),))</f>
        <v>42552</v>
      </c>
      <c r="B20" s="513" t="str">
        <f ca="1">IF(ROWS($1:10)&gt;COUNT(Dong6),"",OFFSET(TH!D$1,SMALL(Dong6,ROWS($1:10)),))</f>
        <v>NL/N01</v>
      </c>
      <c r="C20" s="512">
        <f ca="1">IF(ROWS($1:10)&gt;COUNT(Dong6),"",OFFSET(TH!E$1,SMALL(Dong6,ROWS($1:10)),))</f>
        <v>42529</v>
      </c>
      <c r="D20" s="514" t="str">
        <f ca="1">IF(ROWS($1:10)&gt;COUNT(Dong6),"",OFFSET(TH!F$1,SMALL(Dong6,ROWS($1:10)),))</f>
        <v>VAT Giấy xeo</v>
      </c>
      <c r="E20" s="513">
        <f t="shared" ca="1" si="0"/>
        <v>10</v>
      </c>
      <c r="F20" s="515" t="str">
        <f ca="1">IF(ROWS($1:10)&gt;COUNT(Dong6),"",OFFSET(TH!L$1,SMALL(Dong6,ROWS($1:10)),))</f>
        <v>1331</v>
      </c>
      <c r="G20" s="515" t="str">
        <f ca="1">IF(ROWS($1:10)&gt;COUNT(Dong6),"",OFFSET(TH!M$1,SMALL(Dong6,ROWS($1:10)),))</f>
        <v>331</v>
      </c>
      <c r="H20" s="447">
        <f ca="1">IF(ROWS($1:10)&gt;COUNT(Dong6),"",OFFSET(TH!K$1,SMALL(Dong6,ROWS($1:10)),))</f>
        <v>7716000</v>
      </c>
      <c r="I20" s="447">
        <f ca="1">IF(ROWS($1:10)&gt;COUNT(Dong6),"",OFFSET(TH!K$1,SMALL(Dong6,ROWS($1:10)),))</f>
        <v>7716000</v>
      </c>
    </row>
    <row r="21" spans="1:9" ht="21" customHeight="1">
      <c r="A21" s="512">
        <f ca="1">IF(ROWS($1:11)&gt;COUNT(Dong6),"",OFFSET(TH!C$1,SMALL(Dong6,ROWS($1:11)),))</f>
        <v>42552</v>
      </c>
      <c r="B21" s="513" t="str">
        <f ca="1">IF(ROWS($1:11)&gt;COUNT(Dong6),"",OFFSET(TH!D$1,SMALL(Dong6,ROWS($1:11)),))</f>
        <v>C04</v>
      </c>
      <c r="C21" s="512">
        <f ca="1">IF(ROWS($1:11)&gt;COUNT(Dong6),"",OFFSET(TH!E$1,SMALL(Dong6,ROWS($1:11)),))</f>
        <v>42532</v>
      </c>
      <c r="D21" s="514" t="str">
        <f ca="1">IF(ROWS($1:11)&gt;COUNT(Dong6),"",OFFSET(TH!F$1,SMALL(Dong6,ROWS($1:11)),))</f>
        <v>Đặt in hóa đơn</v>
      </c>
      <c r="E21" s="513">
        <f t="shared" ca="1" si="0"/>
        <v>11</v>
      </c>
      <c r="F21" s="515" t="str">
        <f ca="1">IF(ROWS($1:11)&gt;COUNT(Dong6),"",OFFSET(TH!L$1,SMALL(Dong6,ROWS($1:11)),))</f>
        <v>642</v>
      </c>
      <c r="G21" s="515" t="str">
        <f ca="1">IF(ROWS($1:11)&gt;COUNT(Dong6),"",OFFSET(TH!M$1,SMALL(Dong6,ROWS($1:11)),))</f>
        <v>1111</v>
      </c>
      <c r="H21" s="447">
        <f ca="1">IF(ROWS($1:11)&gt;COUNT(Dong6),"",OFFSET(TH!K$1,SMALL(Dong6,ROWS($1:11)),))</f>
        <v>3800000</v>
      </c>
      <c r="I21" s="447">
        <f ca="1">IF(ROWS($1:11)&gt;COUNT(Dong6),"",OFFSET(TH!K$1,SMALL(Dong6,ROWS($1:11)),))</f>
        <v>3800000</v>
      </c>
    </row>
    <row r="22" spans="1:9" ht="21" customHeight="1">
      <c r="A22" s="512">
        <f ca="1">IF(ROWS($1:12)&gt;COUNT(Dong6),"",OFFSET(TH!C$1,SMALL(Dong6,ROWS($1:12)),))</f>
        <v>42552</v>
      </c>
      <c r="B22" s="513" t="str">
        <f ca="1">IF(ROWS($1:12)&gt;COUNT(Dong6),"",OFFSET(TH!D$1,SMALL(Dong6,ROWS($1:12)),))</f>
        <v>C04</v>
      </c>
      <c r="C22" s="512">
        <f ca="1">IF(ROWS($1:12)&gt;COUNT(Dong6),"",OFFSET(TH!E$1,SMALL(Dong6,ROWS($1:12)),))</f>
        <v>42532</v>
      </c>
      <c r="D22" s="514" t="str">
        <f ca="1">IF(ROWS($1:12)&gt;COUNT(Dong6),"",OFFSET(TH!F$1,SMALL(Dong6,ROWS($1:12)),))</f>
        <v>VAT Đặt in hóa đơn</v>
      </c>
      <c r="E22" s="513">
        <f t="shared" ca="1" si="0"/>
        <v>12</v>
      </c>
      <c r="F22" s="515" t="str">
        <f ca="1">IF(ROWS($1:12)&gt;COUNT(Dong6),"",OFFSET(TH!L$1,SMALL(Dong6,ROWS($1:12)),))</f>
        <v>1331</v>
      </c>
      <c r="G22" s="515" t="str">
        <f ca="1">IF(ROWS($1:12)&gt;COUNT(Dong6),"",OFFSET(TH!M$1,SMALL(Dong6,ROWS($1:12)),))</f>
        <v>1111</v>
      </c>
      <c r="H22" s="447">
        <f ca="1">IF(ROWS($1:12)&gt;COUNT(Dong6),"",OFFSET(TH!K$1,SMALL(Dong6,ROWS($1:12)),))</f>
        <v>380000</v>
      </c>
      <c r="I22" s="447">
        <f ca="1">IF(ROWS($1:12)&gt;COUNT(Dong6),"",OFFSET(TH!K$1,SMALL(Dong6,ROWS($1:12)),))</f>
        <v>380000</v>
      </c>
    </row>
    <row r="23" spans="1:9" ht="21" customHeight="1">
      <c r="A23" s="512">
        <f ca="1">IF(ROWS($1:13)&gt;COUNT(Dong6),"",OFFSET(TH!C$1,SMALL(Dong6,ROWS($1:13)),))</f>
        <v>42552</v>
      </c>
      <c r="B23" s="513" t="str">
        <f ca="1">IF(ROWS($1:13)&gt;COUNT(Dong6),"",OFFSET(TH!D$1,SMALL(Dong6,ROWS($1:13)),))</f>
        <v>NL/N02</v>
      </c>
      <c r="C23" s="512">
        <f ca="1">IF(ROWS($1:13)&gt;COUNT(Dong6),"",OFFSET(TH!E$1,SMALL(Dong6,ROWS($1:13)),))</f>
        <v>42542</v>
      </c>
      <c r="D23" s="514" t="str">
        <f ca="1">IF(ROWS($1:13)&gt;COUNT(Dong6),"",OFFSET(TH!F$1,SMALL(Dong6,ROWS($1:13)),))</f>
        <v>Giấy cuộn xeo</v>
      </c>
      <c r="E23" s="513">
        <f t="shared" ca="1" si="0"/>
        <v>13</v>
      </c>
      <c r="F23" s="515" t="str">
        <f ca="1">IF(ROWS($1:13)&gt;COUNT(Dong6),"",OFFSET(TH!L$1,SMALL(Dong6,ROWS($1:13)),))</f>
        <v>1521</v>
      </c>
      <c r="G23" s="515" t="str">
        <f ca="1">IF(ROWS($1:13)&gt;COUNT(Dong6),"",OFFSET(TH!M$1,SMALL(Dong6,ROWS($1:13)),))</f>
        <v>331</v>
      </c>
      <c r="H23" s="447">
        <f ca="1">IF(ROWS($1:13)&gt;COUNT(Dong6),"",OFFSET(TH!K$1,SMALL(Dong6,ROWS($1:13)),))</f>
        <v>31114400</v>
      </c>
      <c r="I23" s="447">
        <f ca="1">IF(ROWS($1:13)&gt;COUNT(Dong6),"",OFFSET(TH!K$1,SMALL(Dong6,ROWS($1:13)),))</f>
        <v>31114400</v>
      </c>
    </row>
    <row r="24" spans="1:9" ht="21" customHeight="1">
      <c r="A24" s="512">
        <f ca="1">IF(ROWS($1:14)&gt;COUNT(Dong6),"",OFFSET(TH!C$1,SMALL(Dong6,ROWS($1:14)),))</f>
        <v>42552</v>
      </c>
      <c r="B24" s="513" t="str">
        <f ca="1">IF(ROWS($1:14)&gt;COUNT(Dong6),"",OFFSET(TH!D$1,SMALL(Dong6,ROWS($1:14)),))</f>
        <v>NL/N02</v>
      </c>
      <c r="C24" s="512">
        <f ca="1">IF(ROWS($1:14)&gt;COUNT(Dong6),"",OFFSET(TH!E$1,SMALL(Dong6,ROWS($1:14)),))</f>
        <v>42542</v>
      </c>
      <c r="D24" s="514" t="str">
        <f ca="1">IF(ROWS($1:14)&gt;COUNT(Dong6),"",OFFSET(TH!F$1,SMALL(Dong6,ROWS($1:14)),))</f>
        <v>Giấy nâu</v>
      </c>
      <c r="E24" s="513">
        <f t="shared" ca="1" si="0"/>
        <v>14</v>
      </c>
      <c r="F24" s="515" t="str">
        <f ca="1">IF(ROWS($1:14)&gt;COUNT(Dong6),"",OFFSET(TH!L$1,SMALL(Dong6,ROWS($1:14)),))</f>
        <v>1521</v>
      </c>
      <c r="G24" s="515" t="str">
        <f ca="1">IF(ROWS($1:14)&gt;COUNT(Dong6),"",OFFSET(TH!M$1,SMALL(Dong6,ROWS($1:14)),))</f>
        <v>331</v>
      </c>
      <c r="H24" s="447">
        <f ca="1">IF(ROWS($1:14)&gt;COUNT(Dong6),"",OFFSET(TH!K$1,SMALL(Dong6,ROWS($1:14)),))</f>
        <v>38437000</v>
      </c>
      <c r="I24" s="447">
        <f ca="1">IF(ROWS($1:14)&gt;COUNT(Dong6),"",OFFSET(TH!K$1,SMALL(Dong6,ROWS($1:14)),))</f>
        <v>38437000</v>
      </c>
    </row>
    <row r="25" spans="1:9" ht="21" customHeight="1">
      <c r="A25" s="512">
        <f ca="1">IF(ROWS($1:15)&gt;COUNT(Dong6),"",OFFSET(TH!C$1,SMALL(Dong6,ROWS($1:15)),))</f>
        <v>42552</v>
      </c>
      <c r="B25" s="513" t="str">
        <f ca="1">IF(ROWS($1:15)&gt;COUNT(Dong6),"",OFFSET(TH!D$1,SMALL(Dong6,ROWS($1:15)),))</f>
        <v>NL/N02</v>
      </c>
      <c r="C25" s="512">
        <f ca="1">IF(ROWS($1:15)&gt;COUNT(Dong6),"",OFFSET(TH!E$1,SMALL(Dong6,ROWS($1:15)),))</f>
        <v>42542</v>
      </c>
      <c r="D25" s="514" t="str">
        <f ca="1">IF(ROWS($1:15)&gt;COUNT(Dong6),"",OFFSET(TH!F$1,SMALL(Dong6,ROWS($1:15)),))</f>
        <v>Giấy xeo gia keo chống thấm</v>
      </c>
      <c r="E25" s="513">
        <f t="shared" ca="1" si="0"/>
        <v>15</v>
      </c>
      <c r="F25" s="515" t="str">
        <f ca="1">IF(ROWS($1:15)&gt;COUNT(Dong6),"",OFFSET(TH!L$1,SMALL(Dong6,ROWS($1:15)),))</f>
        <v>1521</v>
      </c>
      <c r="G25" s="515" t="str">
        <f ca="1">IF(ROWS($1:15)&gt;COUNT(Dong6),"",OFFSET(TH!M$1,SMALL(Dong6,ROWS($1:15)),))</f>
        <v>331</v>
      </c>
      <c r="H25" s="447">
        <f ca="1">IF(ROWS($1:15)&gt;COUNT(Dong6),"",OFFSET(TH!K$1,SMALL(Dong6,ROWS($1:15)),))</f>
        <v>22380500</v>
      </c>
      <c r="I25" s="447">
        <f ca="1">IF(ROWS($1:15)&gt;COUNT(Dong6),"",OFFSET(TH!K$1,SMALL(Dong6,ROWS($1:15)),))</f>
        <v>22380500</v>
      </c>
    </row>
    <row r="26" spans="1:9" ht="21" customHeight="1">
      <c r="A26" s="512">
        <f ca="1">IF(ROWS($1:16)&gt;COUNT(Dong6),"",OFFSET(TH!C$1,SMALL(Dong6,ROWS($1:16)),))</f>
        <v>42552</v>
      </c>
      <c r="B26" s="513" t="str">
        <f ca="1">IF(ROWS($1:16)&gt;COUNT(Dong6),"",OFFSET(TH!D$1,SMALL(Dong6,ROWS($1:16)),))</f>
        <v>NL/N02</v>
      </c>
      <c r="C26" s="512">
        <f ca="1">IF(ROWS($1:16)&gt;COUNT(Dong6),"",OFFSET(TH!E$1,SMALL(Dong6,ROWS($1:16)),))</f>
        <v>42542</v>
      </c>
      <c r="D26" s="514" t="str">
        <f ca="1">IF(ROWS($1:16)&gt;COUNT(Dong6),"",OFFSET(TH!F$1,SMALL(Dong6,ROWS($1:16)),))</f>
        <v>VAT Giấy màu vàng, xeo gia keo chống thấm</v>
      </c>
      <c r="E26" s="513">
        <f t="shared" ca="1" si="0"/>
        <v>16</v>
      </c>
      <c r="F26" s="515" t="str">
        <f ca="1">IF(ROWS($1:16)&gt;COUNT(Dong6),"",OFFSET(TH!L$1,SMALL(Dong6,ROWS($1:16)),))</f>
        <v>1331</v>
      </c>
      <c r="G26" s="515" t="str">
        <f ca="1">IF(ROWS($1:16)&gt;COUNT(Dong6),"",OFFSET(TH!M$1,SMALL(Dong6,ROWS($1:16)),))</f>
        <v>331</v>
      </c>
      <c r="H26" s="447">
        <f ca="1">IF(ROWS($1:16)&gt;COUNT(Dong6),"",OFFSET(TH!K$1,SMALL(Dong6,ROWS($1:16)),))</f>
        <v>9193190</v>
      </c>
      <c r="I26" s="447">
        <f ca="1">IF(ROWS($1:16)&gt;COUNT(Dong6),"",OFFSET(TH!K$1,SMALL(Dong6,ROWS($1:16)),))</f>
        <v>9193190</v>
      </c>
    </row>
    <row r="27" spans="1:9" ht="21" customHeight="1">
      <c r="A27" s="512">
        <f ca="1">IF(ROWS($1:17)&gt;COUNT(Dong6),"",OFFSET(TH!C$1,SMALL(Dong6,ROWS($1:17)),))</f>
        <v>42552</v>
      </c>
      <c r="B27" s="513" t="str">
        <f ca="1">IF(ROWS($1:17)&gt;COUNT(Dong6),"",OFFSET(TH!D$1,SMALL(Dong6,ROWS($1:17)),))</f>
        <v>GBC</v>
      </c>
      <c r="C27" s="512">
        <f ca="1">IF(ROWS($1:17)&gt;COUNT(Dong6),"",OFFSET(TH!E$1,SMALL(Dong6,ROWS($1:17)),))</f>
        <v>42546</v>
      </c>
      <c r="D27" s="514" t="str">
        <f ca="1">IF(ROWS($1:17)&gt;COUNT(Dong6),"",OFFSET(TH!F$1,SMALL(Dong6,ROWS($1:17)),))</f>
        <v>Lãi tiền gửi</v>
      </c>
      <c r="E27" s="513">
        <f t="shared" ca="1" si="0"/>
        <v>17</v>
      </c>
      <c r="F27" s="515" t="str">
        <f ca="1">IF(ROWS($1:17)&gt;COUNT(Dong6),"",OFFSET(TH!L$1,SMALL(Dong6,ROWS($1:17)),))</f>
        <v>1121</v>
      </c>
      <c r="G27" s="515" t="str">
        <f ca="1">IF(ROWS($1:17)&gt;COUNT(Dong6),"",OFFSET(TH!M$1,SMALL(Dong6,ROWS($1:17)),))</f>
        <v>515</v>
      </c>
      <c r="H27" s="447">
        <f ca="1">IF(ROWS($1:17)&gt;COUNT(Dong6),"",OFFSET(TH!K$1,SMALL(Dong6,ROWS($1:17)),))</f>
        <v>1500</v>
      </c>
      <c r="I27" s="447">
        <f ca="1">IF(ROWS($1:17)&gt;COUNT(Dong6),"",OFFSET(TH!K$1,SMALL(Dong6,ROWS($1:17)),))</f>
        <v>1500</v>
      </c>
    </row>
    <row r="28" spans="1:9" ht="21" customHeight="1">
      <c r="A28" s="512">
        <f ca="1">IF(ROWS($1:18)&gt;COUNT(Dong6),"",OFFSET(TH!C$1,SMALL(Dong6,ROWS($1:18)),))</f>
        <v>42552</v>
      </c>
      <c r="B28" s="513" t="str">
        <f ca="1">IF(ROWS($1:18)&gt;COUNT(Dong6),"",OFFSET(TH!D$1,SMALL(Dong6,ROWS($1:18)),))</f>
        <v>GBN</v>
      </c>
      <c r="C28" s="512">
        <f ca="1">IF(ROWS($1:18)&gt;COUNT(Dong6),"",OFFSET(TH!E$1,SMALL(Dong6,ROWS($1:18)),))</f>
        <v>42546</v>
      </c>
      <c r="D28" s="514" t="str">
        <f ca="1">IF(ROWS($1:18)&gt;COUNT(Dong6),"",OFFSET(TH!F$1,SMALL(Dong6,ROWS($1:18)),))</f>
        <v>Phí quản lý tài khoản</v>
      </c>
      <c r="E28" s="513">
        <f t="shared" ca="1" si="0"/>
        <v>18</v>
      </c>
      <c r="F28" s="515" t="str">
        <f ca="1">IF(ROWS($1:18)&gt;COUNT(Dong6),"",OFFSET(TH!L$1,SMALL(Dong6,ROWS($1:18)),))</f>
        <v>642</v>
      </c>
      <c r="G28" s="515" t="str">
        <f ca="1">IF(ROWS($1:18)&gt;COUNT(Dong6),"",OFFSET(TH!M$1,SMALL(Dong6,ROWS($1:18)),))</f>
        <v>1121</v>
      </c>
      <c r="H28" s="447">
        <f ca="1">IF(ROWS($1:18)&gt;COUNT(Dong6),"",OFFSET(TH!K$1,SMALL(Dong6,ROWS($1:18)),))</f>
        <v>10000</v>
      </c>
      <c r="I28" s="447">
        <f ca="1">IF(ROWS($1:18)&gt;COUNT(Dong6),"",OFFSET(TH!K$1,SMALL(Dong6,ROWS($1:18)),))</f>
        <v>10000</v>
      </c>
    </row>
    <row r="29" spans="1:9" ht="21" customHeight="1">
      <c r="A29" s="512">
        <f ca="1">IF(ROWS($1:19)&gt;COUNT(Dong6),"",OFFSET(TH!C$1,SMALL(Dong6,ROWS($1:19)),))</f>
        <v>42552</v>
      </c>
      <c r="B29" s="513" t="str">
        <f ca="1">IF(ROWS($1:19)&gt;COUNT(Dong6),"",OFFSET(TH!D$1,SMALL(Dong6,ROWS($1:19)),))</f>
        <v>GBN</v>
      </c>
      <c r="C29" s="512">
        <f ca="1">IF(ROWS($1:19)&gt;COUNT(Dong6),"",OFFSET(TH!E$1,SMALL(Dong6,ROWS($1:19)),))</f>
        <v>42546</v>
      </c>
      <c r="D29" s="514" t="str">
        <f ca="1">IF(ROWS($1:19)&gt;COUNT(Dong6),"",OFFSET(TH!F$1,SMALL(Dong6,ROWS($1:19)),))</f>
        <v>VAT Phí quản lý tài khoản</v>
      </c>
      <c r="E29" s="513">
        <f t="shared" ca="1" si="0"/>
        <v>19</v>
      </c>
      <c r="F29" s="515" t="str">
        <f ca="1">IF(ROWS($1:19)&gt;COUNT(Dong6),"",OFFSET(TH!L$1,SMALL(Dong6,ROWS($1:19)),))</f>
        <v>1331</v>
      </c>
      <c r="G29" s="515" t="str">
        <f ca="1">IF(ROWS($1:19)&gt;COUNT(Dong6),"",OFFSET(TH!M$1,SMALL(Dong6,ROWS($1:19)),))</f>
        <v>1121</v>
      </c>
      <c r="H29" s="447">
        <f ca="1">IF(ROWS($1:19)&gt;COUNT(Dong6),"",OFFSET(TH!K$1,SMALL(Dong6,ROWS($1:19)),))</f>
        <v>1000</v>
      </c>
      <c r="I29" s="447">
        <f ca="1">IF(ROWS($1:19)&gt;COUNT(Dong6),"",OFFSET(TH!K$1,SMALL(Dong6,ROWS($1:19)),))</f>
        <v>1000</v>
      </c>
    </row>
    <row r="30" spans="1:9" ht="21" customHeight="1">
      <c r="A30" s="512">
        <f ca="1">IF(ROWS($1:20)&gt;COUNT(Dong6),"",OFFSET(TH!C$1,SMALL(Dong6,ROWS($1:20)),))</f>
        <v>42552</v>
      </c>
      <c r="B30" s="513" t="str">
        <f ca="1">IF(ROWS($1:20)&gt;COUNT(Dong6),"",OFFSET(TH!D$1,SMALL(Dong6,ROWS($1:20)),))</f>
        <v>NL/N03</v>
      </c>
      <c r="C30" s="512">
        <f ca="1">IF(ROWS($1:20)&gt;COUNT(Dong6),"",OFFSET(TH!E$1,SMALL(Dong6,ROWS($1:20)),))</f>
        <v>42551</v>
      </c>
      <c r="D30" s="514" t="str">
        <f ca="1">IF(ROWS($1:20)&gt;COUNT(Dong6),"",OFFSET(TH!F$1,SMALL(Dong6,ROWS($1:20)),))</f>
        <v>Giấy cuộn xeo</v>
      </c>
      <c r="E30" s="513">
        <f t="shared" ca="1" si="0"/>
        <v>20</v>
      </c>
      <c r="F30" s="515" t="str">
        <f ca="1">IF(ROWS($1:20)&gt;COUNT(Dong6),"",OFFSET(TH!L$1,SMALL(Dong6,ROWS($1:20)),))</f>
        <v>1521</v>
      </c>
      <c r="G30" s="515" t="str">
        <f ca="1">IF(ROWS($1:20)&gt;COUNT(Dong6),"",OFFSET(TH!M$1,SMALL(Dong6,ROWS($1:20)),))</f>
        <v>331</v>
      </c>
      <c r="H30" s="447">
        <f ca="1">IF(ROWS($1:20)&gt;COUNT(Dong6),"",OFFSET(TH!K$1,SMALL(Dong6,ROWS($1:20)),))</f>
        <v>47317600</v>
      </c>
      <c r="I30" s="447">
        <f ca="1">IF(ROWS($1:20)&gt;COUNT(Dong6),"",OFFSET(TH!K$1,SMALL(Dong6,ROWS($1:20)),))</f>
        <v>47317600</v>
      </c>
    </row>
    <row r="31" spans="1:9" ht="21" customHeight="1">
      <c r="A31" s="512">
        <f ca="1">IF(ROWS($1:21)&gt;COUNT(Dong6),"",OFFSET(TH!C$1,SMALL(Dong6,ROWS($1:21)),))</f>
        <v>42552</v>
      </c>
      <c r="B31" s="513" t="str">
        <f ca="1">IF(ROWS($1:21)&gt;COUNT(Dong6),"",OFFSET(TH!D$1,SMALL(Dong6,ROWS($1:21)),))</f>
        <v>NL/N03</v>
      </c>
      <c r="C31" s="512">
        <f ca="1">IF(ROWS($1:21)&gt;COUNT(Dong6),"",OFFSET(TH!E$1,SMALL(Dong6,ROWS($1:21)),))</f>
        <v>42551</v>
      </c>
      <c r="D31" s="514" t="str">
        <f ca="1">IF(ROWS($1:21)&gt;COUNT(Dong6),"",OFFSET(TH!F$1,SMALL(Dong6,ROWS($1:21)),))</f>
        <v>Giấy nâu</v>
      </c>
      <c r="E31" s="513">
        <f t="shared" ca="1" si="0"/>
        <v>21</v>
      </c>
      <c r="F31" s="515" t="str">
        <f ca="1">IF(ROWS($1:21)&gt;COUNT(Dong6),"",OFFSET(TH!L$1,SMALL(Dong6,ROWS($1:21)),))</f>
        <v>1521</v>
      </c>
      <c r="G31" s="515" t="str">
        <f ca="1">IF(ROWS($1:21)&gt;COUNT(Dong6),"",OFFSET(TH!M$1,SMALL(Dong6,ROWS($1:21)),))</f>
        <v>331</v>
      </c>
      <c r="H31" s="447">
        <f ca="1">IF(ROWS($1:21)&gt;COUNT(Dong6),"",OFFSET(TH!K$1,SMALL(Dong6,ROWS($1:21)),))</f>
        <v>74205000</v>
      </c>
      <c r="I31" s="447">
        <f ca="1">IF(ROWS($1:21)&gt;COUNT(Dong6),"",OFFSET(TH!K$1,SMALL(Dong6,ROWS($1:21)),))</f>
        <v>74205000</v>
      </c>
    </row>
    <row r="32" spans="1:9" ht="21" customHeight="1">
      <c r="A32" s="512">
        <f ca="1">IF(ROWS($1:22)&gt;COUNT(Dong6),"",OFFSET(TH!C$1,SMALL(Dong6,ROWS($1:22)),))</f>
        <v>42552</v>
      </c>
      <c r="B32" s="513" t="str">
        <f ca="1">IF(ROWS($1:22)&gt;COUNT(Dong6),"",OFFSET(TH!D$1,SMALL(Dong6,ROWS($1:22)),))</f>
        <v>NL/N03</v>
      </c>
      <c r="C32" s="512">
        <f ca="1">IF(ROWS($1:22)&gt;COUNT(Dong6),"",OFFSET(TH!E$1,SMALL(Dong6,ROWS($1:22)),))</f>
        <v>42551</v>
      </c>
      <c r="D32" s="514" t="str">
        <f ca="1">IF(ROWS($1:22)&gt;COUNT(Dong6),"",OFFSET(TH!F$1,SMALL(Dong6,ROWS($1:22)),))</f>
        <v>Giấy xeo gia keo chống thấm</v>
      </c>
      <c r="E32" s="513">
        <f t="shared" ca="1" si="0"/>
        <v>22</v>
      </c>
      <c r="F32" s="515" t="str">
        <f ca="1">IF(ROWS($1:22)&gt;COUNT(Dong6),"",OFFSET(TH!L$1,SMALL(Dong6,ROWS($1:22)),))</f>
        <v>1521</v>
      </c>
      <c r="G32" s="515" t="str">
        <f ca="1">IF(ROWS($1:22)&gt;COUNT(Dong6),"",OFFSET(TH!M$1,SMALL(Dong6,ROWS($1:22)),))</f>
        <v>331</v>
      </c>
      <c r="H32" s="447">
        <f ca="1">IF(ROWS($1:22)&gt;COUNT(Dong6),"",OFFSET(TH!K$1,SMALL(Dong6,ROWS($1:22)),))</f>
        <v>69623500</v>
      </c>
      <c r="I32" s="447">
        <f ca="1">IF(ROWS($1:22)&gt;COUNT(Dong6),"",OFFSET(TH!K$1,SMALL(Dong6,ROWS($1:22)),))</f>
        <v>69623500</v>
      </c>
    </row>
    <row r="33" spans="1:9" ht="21" customHeight="1">
      <c r="A33" s="512">
        <f ca="1">IF(ROWS($1:23)&gt;COUNT(Dong6),"",OFFSET(TH!C$1,SMALL(Dong6,ROWS($1:23)),))</f>
        <v>42552</v>
      </c>
      <c r="B33" s="513" t="str">
        <f ca="1">IF(ROWS($1:23)&gt;COUNT(Dong6),"",OFFSET(TH!D$1,SMALL(Dong6,ROWS($1:23)),))</f>
        <v>NL/N03</v>
      </c>
      <c r="C33" s="512">
        <f ca="1">IF(ROWS($1:23)&gt;COUNT(Dong6),"",OFFSET(TH!E$1,SMALL(Dong6,ROWS($1:23)),))</f>
        <v>42551</v>
      </c>
      <c r="D33" s="514" t="str">
        <f ca="1">IF(ROWS($1:23)&gt;COUNT(Dong6),"",OFFSET(TH!F$1,SMALL(Dong6,ROWS($1:23)),))</f>
        <v>VAT Giấy màu vàng, xeo gia keo chống thấm</v>
      </c>
      <c r="E33" s="513">
        <f t="shared" ca="1" si="0"/>
        <v>23</v>
      </c>
      <c r="F33" s="515" t="str">
        <f ca="1">IF(ROWS($1:23)&gt;COUNT(Dong6),"",OFFSET(TH!L$1,SMALL(Dong6,ROWS($1:23)),))</f>
        <v>1331</v>
      </c>
      <c r="G33" s="515" t="str">
        <f ca="1">IF(ROWS($1:23)&gt;COUNT(Dong6),"",OFFSET(TH!M$1,SMALL(Dong6,ROWS($1:23)),))</f>
        <v>331</v>
      </c>
      <c r="H33" s="447">
        <f ca="1">IF(ROWS($1:23)&gt;COUNT(Dong6),"",OFFSET(TH!K$1,SMALL(Dong6,ROWS($1:23)),))</f>
        <v>19114610</v>
      </c>
      <c r="I33" s="447">
        <f ca="1">IF(ROWS($1:23)&gt;COUNT(Dong6),"",OFFSET(TH!K$1,SMALL(Dong6,ROWS($1:23)),))</f>
        <v>19114610</v>
      </c>
    </row>
    <row r="34" spans="1:9" ht="21" customHeight="1">
      <c r="A34" s="512">
        <f ca="1">IF(ROWS($1:24)&gt;COUNT(Dong6),"",OFFSET(TH!C$1,SMALL(Dong6,ROWS($1:24)),))</f>
        <v>42552</v>
      </c>
      <c r="B34" s="513" t="str">
        <f ca="1">IF(ROWS($1:24)&gt;COUNT(Dong6),"",OFFSET(TH!D$1,SMALL(Dong6,ROWS($1:24)),))</f>
        <v>CTGS</v>
      </c>
      <c r="C34" s="512">
        <f ca="1">IF(ROWS($1:24)&gt;COUNT(Dong6),"",OFFSET(TH!E$1,SMALL(Dong6,ROWS($1:24)),))</f>
        <v>42552</v>
      </c>
      <c r="D34" s="514" t="str">
        <f ca="1">IF(ROWS($1:24)&gt;COUNT(Dong6),"",OFFSET(TH!F$1,SMALL(Dong6,ROWS($1:24)),))</f>
        <v>Trích khấu hao TSCĐ Hữu hình</v>
      </c>
      <c r="E34" s="513">
        <f t="shared" ca="1" si="0"/>
        <v>24</v>
      </c>
      <c r="F34" s="515" t="str">
        <f ca="1">IF(ROWS($1:24)&gt;COUNT(Dong6),"",OFFSET(TH!L$1,SMALL(Dong6,ROWS($1:24)),))</f>
        <v>154</v>
      </c>
      <c r="G34" s="515" t="str">
        <f ca="1">IF(ROWS($1:24)&gt;COUNT(Dong6),"",OFFSET(TH!M$1,SMALL(Dong6,ROWS($1:24)),))</f>
        <v>2141</v>
      </c>
      <c r="H34" s="447">
        <f ca="1">IF(ROWS($1:24)&gt;COUNT(Dong6),"",OFFSET(TH!K$1,SMALL(Dong6,ROWS($1:24)),))</f>
        <v>13250000</v>
      </c>
      <c r="I34" s="447">
        <f ca="1">IF(ROWS($1:24)&gt;COUNT(Dong6),"",OFFSET(TH!K$1,SMALL(Dong6,ROWS($1:24)),))</f>
        <v>13250000</v>
      </c>
    </row>
    <row r="35" spans="1:9" ht="21" customHeight="1">
      <c r="A35" s="512">
        <f ca="1">IF(ROWS($1:25)&gt;COUNT(Dong6),"",OFFSET(TH!C$1,SMALL(Dong6,ROWS($1:25)),))</f>
        <v>42559</v>
      </c>
      <c r="B35" s="513" t="str">
        <f ca="1">IF(ROWS($1:25)&gt;COUNT(Dong6),"",OFFSET(TH!D$1,SMALL(Dong6,ROWS($1:25)),))</f>
        <v>C05</v>
      </c>
      <c r="C35" s="512">
        <f ca="1">IF(ROWS($1:25)&gt;COUNT(Dong6),"",OFFSET(TH!E$1,SMALL(Dong6,ROWS($1:25)),))</f>
        <v>42559</v>
      </c>
      <c r="D35" s="514" t="str">
        <f ca="1">IF(ROWS($1:25)&gt;COUNT(Dong6),"",OFFSET(TH!F$1,SMALL(Dong6,ROWS($1:25)),))</f>
        <v>Nộp tiền mặt</v>
      </c>
      <c r="E35" s="513">
        <f t="shared" ca="1" si="0"/>
        <v>25</v>
      </c>
      <c r="F35" s="515" t="str">
        <f ca="1">IF(ROWS($1:25)&gt;COUNT(Dong6),"",OFFSET(TH!L$1,SMALL(Dong6,ROWS($1:25)),))</f>
        <v>1121</v>
      </c>
      <c r="G35" s="515" t="str">
        <f ca="1">IF(ROWS($1:25)&gt;COUNT(Dong6),"",OFFSET(TH!M$1,SMALL(Dong6,ROWS($1:25)),))</f>
        <v>1111</v>
      </c>
      <c r="H35" s="447">
        <f ca="1">IF(ROWS($1:25)&gt;COUNT(Dong6),"",OFFSET(TH!K$1,SMALL(Dong6,ROWS($1:25)),))</f>
        <v>40700000</v>
      </c>
      <c r="I35" s="447">
        <f ca="1">IF(ROWS($1:25)&gt;COUNT(Dong6),"",OFFSET(TH!K$1,SMALL(Dong6,ROWS($1:25)),))</f>
        <v>40700000</v>
      </c>
    </row>
    <row r="36" spans="1:9" ht="21" customHeight="1">
      <c r="A36" s="512">
        <f ca="1">IF(ROWS($1:26)&gt;COUNT(Dong6),"",OFFSET(TH!C$1,SMALL(Dong6,ROWS($1:26)),))</f>
        <v>42559</v>
      </c>
      <c r="B36" s="513" t="str">
        <f ca="1">IF(ROWS($1:26)&gt;COUNT(Dong6),"",OFFSET(TH!D$1,SMALL(Dong6,ROWS($1:26)),))</f>
        <v>GBN</v>
      </c>
      <c r="C36" s="512">
        <f ca="1">IF(ROWS($1:26)&gt;COUNT(Dong6),"",OFFSET(TH!E$1,SMALL(Dong6,ROWS($1:26)),))</f>
        <v>42559</v>
      </c>
      <c r="D36" s="514" t="str">
        <f ca="1">IF(ROWS($1:26)&gt;COUNT(Dong6),"",OFFSET(TH!F$1,SMALL(Dong6,ROWS($1:26)),))</f>
        <v>Thanh toán tiền thuê kho</v>
      </c>
      <c r="E36" s="513">
        <f t="shared" ca="1" si="0"/>
        <v>26</v>
      </c>
      <c r="F36" s="515" t="str">
        <f ca="1">IF(ROWS($1:26)&gt;COUNT(Dong6),"",OFFSET(TH!L$1,SMALL(Dong6,ROWS($1:26)),))</f>
        <v>331</v>
      </c>
      <c r="G36" s="515" t="str">
        <f ca="1">IF(ROWS($1:26)&gt;COUNT(Dong6),"",OFFSET(TH!M$1,SMALL(Dong6,ROWS($1:26)),))</f>
        <v>1121</v>
      </c>
      <c r="H36" s="447">
        <f ca="1">IF(ROWS($1:26)&gt;COUNT(Dong6),"",OFFSET(TH!K$1,SMALL(Dong6,ROWS($1:26)),))</f>
        <v>40700000</v>
      </c>
      <c r="I36" s="447">
        <f ca="1">IF(ROWS($1:26)&gt;COUNT(Dong6),"",OFFSET(TH!K$1,SMALL(Dong6,ROWS($1:26)),))</f>
        <v>40700000</v>
      </c>
    </row>
    <row r="37" spans="1:9" ht="21" customHeight="1">
      <c r="A37" s="512">
        <f ca="1">IF(ROWS($1:27)&gt;COUNT(Dong6),"",OFFSET(TH!C$1,SMALL(Dong6,ROWS($1:27)),))</f>
        <v>42559</v>
      </c>
      <c r="B37" s="513" t="str">
        <f ca="1">IF(ROWS($1:27)&gt;COUNT(Dong6),"",OFFSET(TH!D$1,SMALL(Dong6,ROWS($1:27)),))</f>
        <v>GBN</v>
      </c>
      <c r="C37" s="512">
        <f ca="1">IF(ROWS($1:27)&gt;COUNT(Dong6),"",OFFSET(TH!E$1,SMALL(Dong6,ROWS($1:27)),))</f>
        <v>42559</v>
      </c>
      <c r="D37" s="514" t="str">
        <f ca="1">IF(ROWS($1:27)&gt;COUNT(Dong6),"",OFFSET(TH!F$1,SMALL(Dong6,ROWS($1:27)),))</f>
        <v>Phí chuyển tiền</v>
      </c>
      <c r="E37" s="513">
        <f t="shared" ca="1" si="0"/>
        <v>27</v>
      </c>
      <c r="F37" s="515" t="str">
        <f ca="1">IF(ROWS($1:27)&gt;COUNT(Dong6),"",OFFSET(TH!L$1,SMALL(Dong6,ROWS($1:27)),))</f>
        <v>642</v>
      </c>
      <c r="G37" s="515" t="str">
        <f ca="1">IF(ROWS($1:27)&gt;COUNT(Dong6),"",OFFSET(TH!M$1,SMALL(Dong6,ROWS($1:27)),))</f>
        <v>1121</v>
      </c>
      <c r="H37" s="447">
        <f ca="1">IF(ROWS($1:27)&gt;COUNT(Dong6),"",OFFSET(TH!K$1,SMALL(Dong6,ROWS($1:27)),))</f>
        <v>20000</v>
      </c>
      <c r="I37" s="447">
        <f ca="1">IF(ROWS($1:27)&gt;COUNT(Dong6),"",OFFSET(TH!K$1,SMALL(Dong6,ROWS($1:27)),))</f>
        <v>20000</v>
      </c>
    </row>
    <row r="38" spans="1:9" ht="21" customHeight="1">
      <c r="A38" s="512">
        <f ca="1">IF(ROWS($1:28)&gt;COUNT(Dong6),"",OFFSET(TH!C$1,SMALL(Dong6,ROWS($1:28)),))</f>
        <v>42559</v>
      </c>
      <c r="B38" s="513" t="str">
        <f ca="1">IF(ROWS($1:28)&gt;COUNT(Dong6),"",OFFSET(TH!D$1,SMALL(Dong6,ROWS($1:28)),))</f>
        <v>GBN</v>
      </c>
      <c r="C38" s="512">
        <f ca="1">IF(ROWS($1:28)&gt;COUNT(Dong6),"",OFFSET(TH!E$1,SMALL(Dong6,ROWS($1:28)),))</f>
        <v>42559</v>
      </c>
      <c r="D38" s="514" t="str">
        <f ca="1">IF(ROWS($1:28)&gt;COUNT(Dong6),"",OFFSET(TH!F$1,SMALL(Dong6,ROWS($1:28)),))</f>
        <v>VAT Phí chuyển tiền</v>
      </c>
      <c r="E38" s="513">
        <f t="shared" ca="1" si="0"/>
        <v>28</v>
      </c>
      <c r="F38" s="515" t="str">
        <f ca="1">IF(ROWS($1:28)&gt;COUNT(Dong6),"",OFFSET(TH!L$1,SMALL(Dong6,ROWS($1:28)),))</f>
        <v>1331</v>
      </c>
      <c r="G38" s="515" t="str">
        <f ca="1">IF(ROWS($1:28)&gt;COUNT(Dong6),"",OFFSET(TH!M$1,SMALL(Dong6,ROWS($1:28)),))</f>
        <v>1121</v>
      </c>
      <c r="H38" s="447">
        <f ca="1">IF(ROWS($1:28)&gt;COUNT(Dong6),"",OFFSET(TH!K$1,SMALL(Dong6,ROWS($1:28)),))</f>
        <v>2000</v>
      </c>
      <c r="I38" s="447">
        <f ca="1">IF(ROWS($1:28)&gt;COUNT(Dong6),"",OFFSET(TH!K$1,SMALL(Dong6,ROWS($1:28)),))</f>
        <v>2000</v>
      </c>
    </row>
    <row r="39" spans="1:9" ht="21" customHeight="1">
      <c r="A39" s="512">
        <f ca="1">IF(ROWS($1:29)&gt;COUNT(Dong6),"",OFFSET(TH!C$1,SMALL(Dong6,ROWS($1:29)),))</f>
        <v>42559</v>
      </c>
      <c r="B39" s="513" t="str">
        <f ca="1">IF(ROWS($1:29)&gt;COUNT(Dong6),"",OFFSET(TH!D$1,SMALL(Dong6,ROWS($1:29)),))</f>
        <v>GBN</v>
      </c>
      <c r="C39" s="512">
        <f ca="1">IF(ROWS($1:29)&gt;COUNT(Dong6),"",OFFSET(TH!E$1,SMALL(Dong6,ROWS($1:29)),))</f>
        <v>42559</v>
      </c>
      <c r="D39" s="514" t="str">
        <f ca="1">IF(ROWS($1:29)&gt;COUNT(Dong6),"",OFFSET(TH!F$1,SMALL(Dong6,ROWS($1:29)),))</f>
        <v>Phí chuyển tiền trong ngày</v>
      </c>
      <c r="E39" s="513">
        <f t="shared" ca="1" si="0"/>
        <v>29</v>
      </c>
      <c r="F39" s="515" t="str">
        <f ca="1">IF(ROWS($1:29)&gt;COUNT(Dong6),"",OFFSET(TH!L$1,SMALL(Dong6,ROWS($1:29)),))</f>
        <v>642</v>
      </c>
      <c r="G39" s="515" t="str">
        <f ca="1">IF(ROWS($1:29)&gt;COUNT(Dong6),"",OFFSET(TH!M$1,SMALL(Dong6,ROWS($1:29)),))</f>
        <v>1121</v>
      </c>
      <c r="H39" s="447">
        <f ca="1">IF(ROWS($1:29)&gt;COUNT(Dong6),"",OFFSET(TH!K$1,SMALL(Dong6,ROWS($1:29)),))</f>
        <v>20000</v>
      </c>
      <c r="I39" s="447">
        <f ca="1">IF(ROWS($1:29)&gt;COUNT(Dong6),"",OFFSET(TH!K$1,SMALL(Dong6,ROWS($1:29)),))</f>
        <v>20000</v>
      </c>
    </row>
    <row r="40" spans="1:9" ht="21" customHeight="1">
      <c r="A40" s="512">
        <f ca="1">IF(ROWS($1:30)&gt;COUNT(Dong6),"",OFFSET(TH!C$1,SMALL(Dong6,ROWS($1:30)),))</f>
        <v>42559</v>
      </c>
      <c r="B40" s="513" t="str">
        <f ca="1">IF(ROWS($1:30)&gt;COUNT(Dong6),"",OFFSET(TH!D$1,SMALL(Dong6,ROWS($1:30)),))</f>
        <v>GBN</v>
      </c>
      <c r="C40" s="512">
        <f ca="1">IF(ROWS($1:30)&gt;COUNT(Dong6),"",OFFSET(TH!E$1,SMALL(Dong6,ROWS($1:30)),))</f>
        <v>42559</v>
      </c>
      <c r="D40" s="514" t="str">
        <f ca="1">IF(ROWS($1:30)&gt;COUNT(Dong6),"",OFFSET(TH!F$1,SMALL(Dong6,ROWS($1:30)),))</f>
        <v>VAT Phí chuyển tiền trong ngày</v>
      </c>
      <c r="E40" s="513">
        <f t="shared" ca="1" si="0"/>
        <v>30</v>
      </c>
      <c r="F40" s="515" t="str">
        <f ca="1">IF(ROWS($1:30)&gt;COUNT(Dong6),"",OFFSET(TH!L$1,SMALL(Dong6,ROWS($1:30)),))</f>
        <v>1331</v>
      </c>
      <c r="G40" s="515" t="str">
        <f ca="1">IF(ROWS($1:30)&gt;COUNT(Dong6),"",OFFSET(TH!M$1,SMALL(Dong6,ROWS($1:30)),))</f>
        <v>1121</v>
      </c>
      <c r="H40" s="447">
        <f ca="1">IF(ROWS($1:30)&gt;COUNT(Dong6),"",OFFSET(TH!K$1,SMALL(Dong6,ROWS($1:30)),))</f>
        <v>2000</v>
      </c>
      <c r="I40" s="447">
        <f ca="1">IF(ROWS($1:30)&gt;COUNT(Dong6),"",OFFSET(TH!K$1,SMALL(Dong6,ROWS($1:30)),))</f>
        <v>2000</v>
      </c>
    </row>
    <row r="41" spans="1:9" ht="21" customHeight="1">
      <c r="A41" s="512">
        <f ca="1">IF(ROWS($1:31)&gt;COUNT(Dong6),"",OFFSET(TH!C$1,SMALL(Dong6,ROWS($1:31)),))</f>
        <v>42563</v>
      </c>
      <c r="B41" s="513" t="str">
        <f ca="1">IF(ROWS($1:31)&gt;COUNT(Dong6),"",OFFSET(TH!D$1,SMALL(Dong6,ROWS($1:31)),))</f>
        <v>NL/N01</v>
      </c>
      <c r="C41" s="512">
        <f ca="1">IF(ROWS($1:31)&gt;COUNT(Dong6),"",OFFSET(TH!E$1,SMALL(Dong6,ROWS($1:31)),))</f>
        <v>42563</v>
      </c>
      <c r="D41" s="514" t="str">
        <f ca="1">IF(ROWS($1:31)&gt;COUNT(Dong6),"",OFFSET(TH!F$1,SMALL(Dong6,ROWS($1:31)),))</f>
        <v>Giấy cuộn xeo</v>
      </c>
      <c r="E41" s="513">
        <f t="shared" ref="E41:E50" ca="1" si="1">IF(D41&lt;&gt;"",ROW()-10,"")</f>
        <v>31</v>
      </c>
      <c r="F41" s="515" t="str">
        <f ca="1">IF(ROWS($1:31)&gt;COUNT(Dong6),"",OFFSET(TH!L$1,SMALL(Dong6,ROWS($1:31)),))</f>
        <v>1521</v>
      </c>
      <c r="G41" s="515" t="str">
        <f ca="1">IF(ROWS($1:31)&gt;COUNT(Dong6),"",OFFSET(TH!M$1,SMALL(Dong6,ROWS($1:31)),))</f>
        <v>331</v>
      </c>
      <c r="H41" s="447">
        <f ca="1">IF(ROWS($1:31)&gt;COUNT(Dong6),"",OFFSET(TH!K$1,SMALL(Dong6,ROWS($1:31)),))</f>
        <v>87673600</v>
      </c>
      <c r="I41" s="447">
        <f ca="1">IF(ROWS($1:31)&gt;COUNT(Dong6),"",OFFSET(TH!K$1,SMALL(Dong6,ROWS($1:31)),))</f>
        <v>87673600</v>
      </c>
    </row>
    <row r="42" spans="1:9" ht="21" customHeight="1">
      <c r="A42" s="512">
        <f ca="1">IF(ROWS($1:32)&gt;COUNT(Dong6),"",OFFSET(TH!C$1,SMALL(Dong6,ROWS($1:32)),))</f>
        <v>42563</v>
      </c>
      <c r="B42" s="513" t="str">
        <f ca="1">IF(ROWS($1:32)&gt;COUNT(Dong6),"",OFFSET(TH!D$1,SMALL(Dong6,ROWS($1:32)),))</f>
        <v>NL/N01</v>
      </c>
      <c r="C42" s="512">
        <f ca="1">IF(ROWS($1:32)&gt;COUNT(Dong6),"",OFFSET(TH!E$1,SMALL(Dong6,ROWS($1:32)),))</f>
        <v>42563</v>
      </c>
      <c r="D42" s="514" t="str">
        <f ca="1">IF(ROWS($1:32)&gt;COUNT(Dong6),"",OFFSET(TH!F$1,SMALL(Dong6,ROWS($1:32)),))</f>
        <v>Giấy nâu gia keo</v>
      </c>
      <c r="E42" s="513">
        <f t="shared" ca="1" si="1"/>
        <v>32</v>
      </c>
      <c r="F42" s="515" t="str">
        <f ca="1">IF(ROWS($1:32)&gt;COUNT(Dong6),"",OFFSET(TH!L$1,SMALL(Dong6,ROWS($1:32)),))</f>
        <v>1521</v>
      </c>
      <c r="G42" s="515" t="str">
        <f ca="1">IF(ROWS($1:32)&gt;COUNT(Dong6),"",OFFSET(TH!M$1,SMALL(Dong6,ROWS($1:32)),))</f>
        <v>331</v>
      </c>
      <c r="H42" s="447">
        <f ca="1">IF(ROWS($1:32)&gt;COUNT(Dong6),"",OFFSET(TH!K$1,SMALL(Dong6,ROWS($1:32)),))</f>
        <v>53213100</v>
      </c>
      <c r="I42" s="447">
        <f ca="1">IF(ROWS($1:32)&gt;COUNT(Dong6),"",OFFSET(TH!K$1,SMALL(Dong6,ROWS($1:32)),))</f>
        <v>53213100</v>
      </c>
    </row>
    <row r="43" spans="1:9" ht="21" customHeight="1">
      <c r="A43" s="512">
        <f ca="1">IF(ROWS($1:33)&gt;COUNT(Dong6),"",OFFSET(TH!C$1,SMALL(Dong6,ROWS($1:33)),))</f>
        <v>42563</v>
      </c>
      <c r="B43" s="513" t="str">
        <f ca="1">IF(ROWS($1:33)&gt;COUNT(Dong6),"",OFFSET(TH!D$1,SMALL(Dong6,ROWS($1:33)),))</f>
        <v>NL/N01</v>
      </c>
      <c r="C43" s="512">
        <f ca="1">IF(ROWS($1:33)&gt;COUNT(Dong6),"",OFFSET(TH!E$1,SMALL(Dong6,ROWS($1:33)),))</f>
        <v>42563</v>
      </c>
      <c r="D43" s="514" t="str">
        <f ca="1">IF(ROWS($1:33)&gt;COUNT(Dong6),"",OFFSET(TH!F$1,SMALL(Dong6,ROWS($1:33)),))</f>
        <v>Giấy xeo gia keo chống thấm</v>
      </c>
      <c r="E43" s="513">
        <f t="shared" ca="1" si="1"/>
        <v>33</v>
      </c>
      <c r="F43" s="515" t="str">
        <f ca="1">IF(ROWS($1:33)&gt;COUNT(Dong6),"",OFFSET(TH!L$1,SMALL(Dong6,ROWS($1:33)),))</f>
        <v>1521</v>
      </c>
      <c r="G43" s="515" t="str">
        <f ca="1">IF(ROWS($1:33)&gt;COUNT(Dong6),"",OFFSET(TH!M$1,SMALL(Dong6,ROWS($1:33)),))</f>
        <v>331</v>
      </c>
      <c r="H43" s="447">
        <f ca="1">IF(ROWS($1:33)&gt;COUNT(Dong6),"",OFFSET(TH!K$1,SMALL(Dong6,ROWS($1:33)),))</f>
        <v>34093500</v>
      </c>
      <c r="I43" s="447">
        <f ca="1">IF(ROWS($1:33)&gt;COUNT(Dong6),"",OFFSET(TH!K$1,SMALL(Dong6,ROWS($1:33)),))</f>
        <v>34093500</v>
      </c>
    </row>
    <row r="44" spans="1:9" ht="21" customHeight="1">
      <c r="A44" s="512">
        <f ca="1">IF(ROWS($1:34)&gt;COUNT(Dong6),"",OFFSET(TH!C$1,SMALL(Dong6,ROWS($1:34)),))</f>
        <v>42563</v>
      </c>
      <c r="B44" s="513" t="str">
        <f ca="1">IF(ROWS($1:34)&gt;COUNT(Dong6),"",OFFSET(TH!D$1,SMALL(Dong6,ROWS($1:34)),))</f>
        <v>NL/N04</v>
      </c>
      <c r="C44" s="512">
        <f ca="1">IF(ROWS($1:34)&gt;COUNT(Dong6),"",OFFSET(TH!E$1,SMALL(Dong6,ROWS($1:34)),))</f>
        <v>42563</v>
      </c>
      <c r="D44" s="514" t="str">
        <f ca="1">IF(ROWS($1:34)&gt;COUNT(Dong6),"",OFFSET(TH!F$1,SMALL(Dong6,ROWS($1:34)),))</f>
        <v>VAT Giấy màu vàng, xeo gia keo chống thấm</v>
      </c>
      <c r="E44" s="513">
        <f t="shared" ca="1" si="1"/>
        <v>34</v>
      </c>
      <c r="F44" s="515" t="str">
        <f ca="1">IF(ROWS($1:34)&gt;COUNT(Dong6),"",OFFSET(TH!L$1,SMALL(Dong6,ROWS($1:34)),))</f>
        <v>1331</v>
      </c>
      <c r="G44" s="515" t="str">
        <f ca="1">IF(ROWS($1:34)&gt;COUNT(Dong6),"",OFFSET(TH!M$1,SMALL(Dong6,ROWS($1:34)),))</f>
        <v>331</v>
      </c>
      <c r="H44" s="447">
        <f ca="1">IF(ROWS($1:34)&gt;COUNT(Dong6),"",OFFSET(TH!K$1,SMALL(Dong6,ROWS($1:34)),))</f>
        <v>17498020</v>
      </c>
      <c r="I44" s="447">
        <f ca="1">IF(ROWS($1:34)&gt;COUNT(Dong6),"",OFFSET(TH!K$1,SMALL(Dong6,ROWS($1:34)),))</f>
        <v>17498020</v>
      </c>
    </row>
    <row r="45" spans="1:9" ht="21" customHeight="1">
      <c r="A45" s="512">
        <f ca="1">IF(ROWS($1:35)&gt;COUNT(Dong6),"",OFFSET(TH!C$1,SMALL(Dong6,ROWS($1:35)),))</f>
        <v>42563</v>
      </c>
      <c r="B45" s="513" t="str">
        <f ca="1">IF(ROWS($1:35)&gt;COUNT(Dong6),"",OFFSET(TH!D$1,SMALL(Dong6,ROWS($1:35)),))</f>
        <v>CTGS</v>
      </c>
      <c r="C45" s="512">
        <f ca="1">IF(ROWS($1:35)&gt;COUNT(Dong6),"",OFFSET(TH!E$1,SMALL(Dong6,ROWS($1:35)),))</f>
        <v>42563</v>
      </c>
      <c r="D45" s="514" t="str">
        <f ca="1">IF(ROWS($1:35)&gt;COUNT(Dong6),"",OFFSET(TH!F$1,SMALL(Dong6,ROWS($1:35)),))</f>
        <v>Máy chap khe khổ 2m</v>
      </c>
      <c r="E45" s="513">
        <f t="shared" ca="1" si="1"/>
        <v>35</v>
      </c>
      <c r="F45" s="515" t="str">
        <f ca="1">IF(ROWS($1:35)&gt;COUNT(Dong6),"",OFFSET(TH!L$1,SMALL(Dong6,ROWS($1:35)),))</f>
        <v>2112</v>
      </c>
      <c r="G45" s="515" t="str">
        <f ca="1">IF(ROWS($1:35)&gt;COUNT(Dong6),"",OFFSET(TH!M$1,SMALL(Dong6,ROWS($1:35)),))</f>
        <v>331</v>
      </c>
      <c r="H45" s="447">
        <f ca="1">IF(ROWS($1:35)&gt;COUNT(Dong6),"",OFFSET(TH!K$1,SMALL(Dong6,ROWS($1:35)),))</f>
        <v>15000000</v>
      </c>
      <c r="I45" s="447">
        <f ca="1">IF(ROWS($1:35)&gt;COUNT(Dong6),"",OFFSET(TH!K$1,SMALL(Dong6,ROWS($1:35)),))</f>
        <v>15000000</v>
      </c>
    </row>
    <row r="46" spans="1:9" ht="21" customHeight="1">
      <c r="A46" s="512">
        <f ca="1">IF(ROWS($1:36)&gt;COUNT(Dong6),"",OFFSET(TH!C$1,SMALL(Dong6,ROWS($1:36)),))</f>
        <v>42563</v>
      </c>
      <c r="B46" s="513" t="str">
        <f ca="1">IF(ROWS($1:36)&gt;COUNT(Dong6),"",OFFSET(TH!D$1,SMALL(Dong6,ROWS($1:36)),))</f>
        <v>CTGS</v>
      </c>
      <c r="C46" s="512">
        <f ca="1">IF(ROWS($1:36)&gt;COUNT(Dong6),"",OFFSET(TH!E$1,SMALL(Dong6,ROWS($1:36)),))</f>
        <v>42563</v>
      </c>
      <c r="D46" s="514" t="str">
        <f ca="1">IF(ROWS($1:36)&gt;COUNT(Dong6),"",OFFSET(TH!F$1,SMALL(Dong6,ROWS($1:36)),))</f>
        <v>Máy đóng kẽm</v>
      </c>
      <c r="E46" s="513">
        <f t="shared" ca="1" si="1"/>
        <v>36</v>
      </c>
      <c r="F46" s="515" t="str">
        <f ca="1">IF(ROWS($1:36)&gt;COUNT(Dong6),"",OFFSET(TH!L$1,SMALL(Dong6,ROWS($1:36)),))</f>
        <v>2112</v>
      </c>
      <c r="G46" s="515" t="str">
        <f ca="1">IF(ROWS($1:36)&gt;COUNT(Dong6),"",OFFSET(TH!M$1,SMALL(Dong6,ROWS($1:36)),))</f>
        <v>331</v>
      </c>
      <c r="H46" s="447">
        <f ca="1">IF(ROWS($1:36)&gt;COUNT(Dong6),"",OFFSET(TH!K$1,SMALL(Dong6,ROWS($1:36)),))</f>
        <v>25000000</v>
      </c>
      <c r="I46" s="447">
        <f ca="1">IF(ROWS($1:36)&gt;COUNT(Dong6),"",OFFSET(TH!K$1,SMALL(Dong6,ROWS($1:36)),))</f>
        <v>25000000</v>
      </c>
    </row>
    <row r="47" spans="1:9" ht="21" customHeight="1">
      <c r="A47" s="512">
        <f ca="1">IF(ROWS($1:37)&gt;COUNT(Dong6),"",OFFSET(TH!C$1,SMALL(Dong6,ROWS($1:37)),))</f>
        <v>42563</v>
      </c>
      <c r="B47" s="513" t="str">
        <f ca="1">IF(ROWS($1:37)&gt;COUNT(Dong6),"",OFFSET(TH!D$1,SMALL(Dong6,ROWS($1:37)),))</f>
        <v>CTGS</v>
      </c>
      <c r="C47" s="512">
        <f ca="1">IF(ROWS($1:37)&gt;COUNT(Dong6),"",OFFSET(TH!E$1,SMALL(Dong6,ROWS($1:37)),))</f>
        <v>42563</v>
      </c>
      <c r="D47" s="514" t="str">
        <f ca="1">IF(ROWS($1:37)&gt;COUNT(Dong6),"",OFFSET(TH!F$1,SMALL(Dong6,ROWS($1:37)),))</f>
        <v>Máy In</v>
      </c>
      <c r="E47" s="513">
        <f t="shared" ca="1" si="1"/>
        <v>37</v>
      </c>
      <c r="F47" s="515" t="str">
        <f ca="1">IF(ROWS($1:37)&gt;COUNT(Dong6),"",OFFSET(TH!L$1,SMALL(Dong6,ROWS($1:37)),))</f>
        <v>2112</v>
      </c>
      <c r="G47" s="515" t="str">
        <f ca="1">IF(ROWS($1:37)&gt;COUNT(Dong6),"",OFFSET(TH!M$1,SMALL(Dong6,ROWS($1:37)),))</f>
        <v>331</v>
      </c>
      <c r="H47" s="447">
        <f ca="1">IF(ROWS($1:37)&gt;COUNT(Dong6),"",OFFSET(TH!K$1,SMALL(Dong6,ROWS($1:37)),))</f>
        <v>300000000</v>
      </c>
      <c r="I47" s="447">
        <f ca="1">IF(ROWS($1:37)&gt;COUNT(Dong6),"",OFFSET(TH!K$1,SMALL(Dong6,ROWS($1:37)),))</f>
        <v>300000000</v>
      </c>
    </row>
    <row r="48" spans="1:9" ht="21" customHeight="1">
      <c r="A48" s="512">
        <f ca="1">IF(ROWS($1:38)&gt;COUNT(Dong6),"",OFFSET(TH!C$1,SMALL(Dong6,ROWS($1:38)),))</f>
        <v>42563</v>
      </c>
      <c r="B48" s="513" t="str">
        <f ca="1">IF(ROWS($1:38)&gt;COUNT(Dong6),"",OFFSET(TH!D$1,SMALL(Dong6,ROWS($1:38)),))</f>
        <v>CTGS</v>
      </c>
      <c r="C48" s="512">
        <f ca="1">IF(ROWS($1:38)&gt;COUNT(Dong6),"",OFFSET(TH!E$1,SMALL(Dong6,ROWS($1:38)),))</f>
        <v>42563</v>
      </c>
      <c r="D48" s="514" t="str">
        <f ca="1">IF(ROWS($1:38)&gt;COUNT(Dong6),"",OFFSET(TH!F$1,SMALL(Dong6,ROWS($1:38)),))</f>
        <v>Máy sóng giấy carton đầu 5 lớp</v>
      </c>
      <c r="E48" s="513">
        <f t="shared" ca="1" si="1"/>
        <v>38</v>
      </c>
      <c r="F48" s="515" t="str">
        <f ca="1">IF(ROWS($1:38)&gt;COUNT(Dong6),"",OFFSET(TH!L$1,SMALL(Dong6,ROWS($1:38)),))</f>
        <v>2112</v>
      </c>
      <c r="G48" s="515" t="str">
        <f ca="1">IF(ROWS($1:38)&gt;COUNT(Dong6),"",OFFSET(TH!M$1,SMALL(Dong6,ROWS($1:38)),))</f>
        <v>331</v>
      </c>
      <c r="H48" s="447">
        <f ca="1">IF(ROWS($1:38)&gt;COUNT(Dong6),"",OFFSET(TH!K$1,SMALL(Dong6,ROWS($1:38)),))</f>
        <v>500000000</v>
      </c>
      <c r="I48" s="447">
        <f ca="1">IF(ROWS($1:38)&gt;COUNT(Dong6),"",OFFSET(TH!K$1,SMALL(Dong6,ROWS($1:38)),))</f>
        <v>500000000</v>
      </c>
    </row>
    <row r="49" spans="1:10" ht="21" customHeight="1">
      <c r="A49" s="512">
        <f ca="1">IF(ROWS($1:39)&gt;COUNT(Dong6),"",OFFSET(TH!C$1,SMALL(Dong6,ROWS($1:39)),))</f>
        <v>42563</v>
      </c>
      <c r="B49" s="513" t="str">
        <f ca="1">IF(ROWS($1:39)&gt;COUNT(Dong6),"",OFFSET(TH!D$1,SMALL(Dong6,ROWS($1:39)),))</f>
        <v>CTGS</v>
      </c>
      <c r="C49" s="512">
        <f ca="1">IF(ROWS($1:39)&gt;COUNT(Dong6),"",OFFSET(TH!E$1,SMALL(Dong6,ROWS($1:39)),))</f>
        <v>42563</v>
      </c>
      <c r="D49" s="514" t="str">
        <f ca="1">IF(ROWS($1:39)&gt;COUNT(Dong6),"",OFFSET(TH!F$1,SMALL(Dong6,ROWS($1:39)),))</f>
        <v>VAT máy móc tiết bị</v>
      </c>
      <c r="E49" s="513">
        <f t="shared" ca="1" si="1"/>
        <v>39</v>
      </c>
      <c r="F49" s="515" t="str">
        <f ca="1">IF(ROWS($1:39)&gt;COUNT(Dong6),"",OFFSET(TH!L$1,SMALL(Dong6,ROWS($1:39)),))</f>
        <v>1331</v>
      </c>
      <c r="G49" s="515" t="str">
        <f ca="1">IF(ROWS($1:39)&gt;COUNT(Dong6),"",OFFSET(TH!M$1,SMALL(Dong6,ROWS($1:39)),))</f>
        <v>331</v>
      </c>
      <c r="H49" s="447">
        <f ca="1">IF(ROWS($1:39)&gt;COUNT(Dong6),"",OFFSET(TH!K$1,SMALL(Dong6,ROWS($1:39)),))</f>
        <v>84000000</v>
      </c>
      <c r="I49" s="447">
        <f ca="1">IF(ROWS($1:39)&gt;COUNT(Dong6),"",OFFSET(TH!K$1,SMALL(Dong6,ROWS($1:39)),))</f>
        <v>84000000</v>
      </c>
    </row>
    <row r="50" spans="1:10" ht="21" customHeight="1">
      <c r="A50" s="512">
        <f ca="1">IF(ROWS($1:40)&gt;COUNT(Dong6),"",OFFSET(TH!C$1,SMALL(Dong6,ROWS($1:40)),))</f>
        <v>42566</v>
      </c>
      <c r="B50" s="513" t="str">
        <f ca="1">IF(ROWS($1:40)&gt;COUNT(Dong6),"",OFFSET(TH!D$1,SMALL(Dong6,ROWS($1:40)),))</f>
        <v>C06</v>
      </c>
      <c r="C50" s="512">
        <f ca="1">IF(ROWS($1:40)&gt;COUNT(Dong6),"",OFFSET(TH!E$1,SMALL(Dong6,ROWS($1:40)),))</f>
        <v>42566</v>
      </c>
      <c r="D50" s="514" t="str">
        <f ca="1">IF(ROWS($1:40)&gt;COUNT(Dong6),"",OFFSET(TH!F$1,SMALL(Dong6,ROWS($1:40)),))</f>
        <v>Dầu Do</v>
      </c>
      <c r="E50" s="513">
        <f t="shared" ca="1" si="1"/>
        <v>40</v>
      </c>
      <c r="F50" s="515" t="str">
        <f ca="1">IF(ROWS($1:40)&gt;COUNT(Dong6),"",OFFSET(TH!L$1,SMALL(Dong6,ROWS($1:40)),))</f>
        <v>641</v>
      </c>
      <c r="G50" s="515" t="str">
        <f ca="1">IF(ROWS($1:40)&gt;COUNT(Dong6),"",OFFSET(TH!M$1,SMALL(Dong6,ROWS($1:40)),))</f>
        <v>1111</v>
      </c>
      <c r="H50" s="447">
        <f ca="1">IF(ROWS($1:40)&gt;COUNT(Dong6),"",OFFSET(TH!K$1,SMALL(Dong6,ROWS($1:40)),))</f>
        <v>1454545</v>
      </c>
      <c r="I50" s="447">
        <f ca="1">IF(ROWS($1:40)&gt;COUNT(Dong6),"",OFFSET(TH!K$1,SMALL(Dong6,ROWS($1:40)),))</f>
        <v>1454545</v>
      </c>
    </row>
    <row r="51" spans="1:10" ht="21" customHeight="1">
      <c r="A51" s="512"/>
      <c r="B51" s="513"/>
      <c r="C51" s="512"/>
      <c r="D51" s="514"/>
      <c r="E51" s="513"/>
      <c r="F51" s="515"/>
      <c r="G51" s="515"/>
      <c r="H51" s="447"/>
      <c r="I51" s="447"/>
    </row>
    <row r="52" spans="1:10" ht="21" customHeight="1">
      <c r="A52" s="516"/>
      <c r="B52" s="516"/>
      <c r="C52" s="516"/>
      <c r="D52" s="517" t="s">
        <v>338</v>
      </c>
      <c r="E52" s="518" t="s">
        <v>19</v>
      </c>
      <c r="F52" s="518"/>
      <c r="G52" s="518" t="s">
        <v>19</v>
      </c>
      <c r="H52" s="519">
        <f ca="1">SUBTOTAL(9,$H$10:$H$51)</f>
        <v>3779917065</v>
      </c>
      <c r="I52" s="519">
        <f ca="1">SUBTOTAL(9,I10:I51)</f>
        <v>3779917065</v>
      </c>
    </row>
    <row r="53" spans="1:10">
      <c r="A53" s="520" t="s">
        <v>362</v>
      </c>
    </row>
    <row r="54" spans="1:10">
      <c r="A54" s="520" t="str">
        <f ca="1">"- Ngày mở sổ: "&amp;DAY($A$11)&amp;"/"&amp;MONTH($A$11)&amp;"/ " &amp;YEAR($A$11)</f>
        <v>- Ngày mở sổ: 1/7/ 2016</v>
      </c>
    </row>
    <row r="55" spans="1:10">
      <c r="H55" s="96" t="str">
        <f ca="1">"Ngày "&amp;IF(OR($L$11=4,$L$11=6,$L$11=9,$L$11=11),"30",IF($L$11=2,"28","31"))&amp;" tháng "&amp;$N$8&amp;"  năm  "&amp;YEAR($A$14)</f>
        <v>Ngày 31 tháng 9  năm  2016</v>
      </c>
      <c r="I55" s="521"/>
      <c r="J55" s="521"/>
    </row>
    <row r="56" spans="1:10">
      <c r="B56" s="521" t="s">
        <v>335</v>
      </c>
      <c r="D56" s="521" t="s">
        <v>12</v>
      </c>
      <c r="H56" s="521" t="s">
        <v>336</v>
      </c>
      <c r="I56" s="521"/>
      <c r="J56" s="521"/>
    </row>
    <row r="57" spans="1:10">
      <c r="B57" s="521" t="s">
        <v>13</v>
      </c>
      <c r="D57" s="521" t="s">
        <v>13</v>
      </c>
      <c r="H57" s="521" t="s">
        <v>131</v>
      </c>
      <c r="I57" s="521"/>
      <c r="J57" s="521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36" customWidth="1"/>
    <col min="2" max="2" width="6.85546875" style="636" customWidth="1"/>
    <col min="3" max="3" width="8.7109375" style="636" customWidth="1"/>
    <col min="4" max="4" width="34.5703125" style="3" customWidth="1"/>
    <col min="5" max="5" width="6.28515625" style="6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78" customFormat="1" ht="15.75" customHeight="1">
      <c r="A2" s="676" t="str">
        <f>TH!A1</f>
        <v>Đơn vị: CÔNG TY TNHH BAO BÌ GIẤY KIM DUNG PHÁT</v>
      </c>
      <c r="B2" s="677"/>
      <c r="C2" s="677"/>
      <c r="E2" s="677"/>
      <c r="G2" s="839" t="s">
        <v>140</v>
      </c>
      <c r="H2" s="839"/>
      <c r="I2" s="839"/>
    </row>
    <row r="3" spans="1:9" ht="15.75" customHeight="1">
      <c r="A3" s="1" t="str">
        <f>TH!A2</f>
        <v>Địa chỉ: Ấp Rừng Sến, xã Mỹ Hạnh Bắc, Huyện Đức Hòa, Tỉnh Long An, Việt Nam</v>
      </c>
      <c r="G3" s="840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40"/>
      <c r="I3" s="840"/>
    </row>
    <row r="4" spans="1:9">
      <c r="F4" s="6"/>
      <c r="G4" s="840"/>
      <c r="H4" s="840"/>
      <c r="I4" s="840"/>
    </row>
    <row r="5" spans="1:9" ht="31.5" customHeight="1">
      <c r="A5" s="841" t="s">
        <v>141</v>
      </c>
      <c r="B5" s="841"/>
      <c r="C5" s="841"/>
      <c r="D5" s="841"/>
      <c r="E5" s="841"/>
      <c r="F5" s="841"/>
      <c r="G5" s="841"/>
      <c r="H5" s="841"/>
      <c r="I5" s="841"/>
    </row>
    <row r="6" spans="1:9">
      <c r="A6" s="842" t="s">
        <v>142</v>
      </c>
      <c r="B6" s="836"/>
      <c r="C6" s="836"/>
      <c r="D6" s="836"/>
      <c r="E6" s="836"/>
      <c r="F6" s="836"/>
      <c r="G6" s="836"/>
      <c r="H6" s="836"/>
      <c r="I6" s="836"/>
    </row>
    <row r="7" spans="1:9">
      <c r="B7" s="3"/>
      <c r="C7" s="3"/>
      <c r="D7" s="106" t="s">
        <v>143</v>
      </c>
      <c r="E7" s="107" t="s">
        <v>82</v>
      </c>
    </row>
    <row r="8" spans="1:9">
      <c r="B8" s="3"/>
      <c r="C8" s="3"/>
      <c r="D8" s="106" t="s">
        <v>144</v>
      </c>
      <c r="E8" s="3" t="str">
        <f>VLOOKUP($E$7,DSTK,2,0)</f>
        <v xml:space="preserve"> Chi phí quản lý doanh nghiệp </v>
      </c>
    </row>
    <row r="9" spans="1:9">
      <c r="A9" s="836" t="s">
        <v>29</v>
      </c>
      <c r="B9" s="843"/>
      <c r="C9" s="843"/>
      <c r="D9" s="843"/>
      <c r="E9" s="843"/>
      <c r="F9" s="843"/>
      <c r="G9" s="843"/>
      <c r="H9" s="843"/>
      <c r="I9" s="843"/>
    </row>
    <row r="10" spans="1:9" ht="9.75" customHeight="1">
      <c r="C10" s="844"/>
      <c r="D10" s="845"/>
      <c r="E10" s="845"/>
      <c r="F10" s="845"/>
      <c r="G10" s="845"/>
      <c r="H10" s="845"/>
      <c r="I10" s="845"/>
    </row>
    <row r="11" spans="1:9" ht="19.5" customHeight="1">
      <c r="A11" s="846" t="s">
        <v>20</v>
      </c>
      <c r="B11" s="837" t="s">
        <v>1</v>
      </c>
      <c r="C11" s="847"/>
      <c r="D11" s="846" t="s">
        <v>0</v>
      </c>
      <c r="E11" s="846" t="s">
        <v>14</v>
      </c>
      <c r="F11" s="837" t="s">
        <v>21</v>
      </c>
      <c r="G11" s="847"/>
      <c r="H11" s="837" t="s">
        <v>30</v>
      </c>
      <c r="I11" s="838"/>
    </row>
    <row r="12" spans="1:9" ht="32.25" customHeight="1">
      <c r="A12" s="846"/>
      <c r="B12" s="656" t="s">
        <v>15</v>
      </c>
      <c r="C12" s="656" t="s">
        <v>31</v>
      </c>
      <c r="D12" s="846"/>
      <c r="E12" s="846"/>
      <c r="F12" s="656" t="s">
        <v>22</v>
      </c>
      <c r="G12" s="656" t="s">
        <v>23</v>
      </c>
      <c r="H12" s="656" t="s">
        <v>22</v>
      </c>
      <c r="I12" s="656" t="s">
        <v>23</v>
      </c>
    </row>
    <row r="13" spans="1:9" s="636" customFormat="1" ht="11.25" customHeight="1">
      <c r="A13" s="657" t="s">
        <v>2</v>
      </c>
      <c r="B13" s="658" t="s">
        <v>3</v>
      </c>
      <c r="C13" s="657" t="s">
        <v>4</v>
      </c>
      <c r="D13" s="657" t="s">
        <v>5</v>
      </c>
      <c r="E13" s="657" t="s">
        <v>6</v>
      </c>
      <c r="F13" s="657">
        <v>1</v>
      </c>
      <c r="G13" s="657">
        <v>2</v>
      </c>
      <c r="H13" s="657">
        <v>3</v>
      </c>
      <c r="I13" s="657">
        <v>4</v>
      </c>
    </row>
    <row r="14" spans="1:9" ht="18" customHeight="1">
      <c r="A14" s="659"/>
      <c r="B14" s="660"/>
      <c r="C14" s="659"/>
      <c r="D14" s="661" t="s">
        <v>7</v>
      </c>
      <c r="E14" s="660"/>
      <c r="F14" s="662"/>
      <c r="G14" s="662"/>
      <c r="H14" s="662">
        <f>VLOOKUP($E$7,DSTK,3,0)</f>
        <v>0</v>
      </c>
      <c r="I14" s="662">
        <f>VLOOKUP($E$7,DSTK,4,0)</f>
        <v>0</v>
      </c>
    </row>
    <row r="15" spans="1:9" ht="18" customHeight="1">
      <c r="A15" s="663">
        <f ca="1">IF(ROWS($1:1)&gt;COUNT(Dong5),"",OFFSET(TH!C$1,SMALL(Dong5,ROWS($1:1)),))</f>
        <v>42735</v>
      </c>
      <c r="B15" s="663" t="str">
        <f ca="1">IF(ROWS($1:1)&gt;COUNT(Dong5),"",OFFSET(TH!D$1,SMALL(Dong5,ROWS($1:1)),))</f>
        <v>BTKC</v>
      </c>
      <c r="C15" s="663">
        <f ca="1">IF(ROWS($1:1)&gt;COUNT(Dong5),"",OFFSET(TH!E$1,SMALL(Dong5,ROWS($1:1)),))</f>
        <v>42735</v>
      </c>
      <c r="D15" s="664" t="str">
        <f ca="1">IF(ROWS($1:1)&gt;COUNT(Dong5),"",OFFSET(TH!F$1,SMALL(Dong5,ROWS($1:1)),))</f>
        <v>K/C chi phí quản lý doanh nghiệp</v>
      </c>
      <c r="E15" s="663" t="str">
        <f ca="1">IF(ROWS($1:1)&gt;COUNT(Dong5),"",IF(OFFSET(TH!L$1,SMALL(Dong5,ROWS($1:1)),)=$E$7,OFFSET(TH!M$1,SMALL(Dong5,ROWS($1:1)),),OFFSET(TH!L$1,SMALL(Dong5,ROWS($1:1)),)))</f>
        <v>911</v>
      </c>
      <c r="F15" s="665">
        <f ca="1">IF(ROWS($1:1)&gt;COUNT(Dong5),0,IF(OFFSET(TH!L$1,SMALL(Dong5,ROWS($1:1)),)=$E$7,OFFSET(TH!K$1,SMALL(Dong5,ROWS($1:1)),),0))</f>
        <v>0</v>
      </c>
      <c r="G15" s="662">
        <f ca="1">IF(ROWS($1:1)&gt;COUNT(Dong5),0,IF(OFFSET(TH!M$1,SMALL(Dong5,ROWS($1:1)),)=$E$7,OFFSET(TH!K$1,SMALL(Dong5,ROWS($1:1)),),0))</f>
        <v>290737980</v>
      </c>
      <c r="H15" s="666">
        <f ca="1">IF(D15&lt;&gt;"",MAX(H14+F15-G15-I14,0),0)</f>
        <v>0</v>
      </c>
      <c r="I15" s="666">
        <f ca="1">IF(D15&lt;&gt;"",MAX(I14+G15-H14-F15,0),0)</f>
        <v>290737980</v>
      </c>
    </row>
    <row r="16" spans="1:9" ht="18" customHeight="1">
      <c r="A16" s="663">
        <f ca="1">IF(ROWS($1:2)&gt;COUNT(Dong5),"",OFFSET(TH!C$1,SMALL(Dong5,ROWS($1:2)),))</f>
        <v>42552</v>
      </c>
      <c r="B16" s="663" t="str">
        <f ca="1">IF(ROWS($1:2)&gt;COUNT(Dong5),"",OFFSET(TH!D$1,SMALL(Dong5,ROWS($1:2)),))</f>
        <v>C02</v>
      </c>
      <c r="C16" s="663">
        <f ca="1">IF(ROWS($1:2)&gt;COUNT(Dong5),"",OFFSET(TH!E$1,SMALL(Dong5,ROWS($1:2)),))</f>
        <v>42508</v>
      </c>
      <c r="D16" s="664" t="str">
        <f ca="1">IF(ROWS($1:2)&gt;COUNT(Dong5),"",OFFSET(TH!F$1,SMALL(Dong5,ROWS($1:2)),))</f>
        <v>Chữ ký số</v>
      </c>
      <c r="E16" s="663" t="str">
        <f ca="1">IF(ROWS($1:2)&gt;COUNT(Dong5),"",IF(OFFSET(TH!L$1,SMALL(Dong5,ROWS($1:2)),)=$E$7,OFFSET(TH!M$1,SMALL(Dong5,ROWS($1:2)),),OFFSET(TH!L$1,SMALL(Dong5,ROWS($1:2)),)))</f>
        <v>1111</v>
      </c>
      <c r="F16" s="665">
        <f ca="1">IF(ROWS($1:2)&gt;COUNT(Dong5),0,IF(OFFSET(TH!L$1,SMALL(Dong5,ROWS($1:2)),)=$E$7,OFFSET(TH!K$1,SMALL(Dong5,ROWS($1:2)),),0))</f>
        <v>2160000</v>
      </c>
      <c r="G16" s="662">
        <f ca="1">IF(ROWS($1:2)&gt;COUNT(Dong5),0,IF(OFFSET(TH!M$1,SMALL(Dong5,ROWS($1:2)),)=$E$7,OFFSET(TH!K$1,SMALL(Dong5,ROWS($1:2)),),0))</f>
        <v>0</v>
      </c>
      <c r="H16" s="666">
        <f t="shared" ref="H16:H20" ca="1" si="0">IF(D16&lt;&gt;"",MAX(H15+F16-G16-I15,0),0)</f>
        <v>0</v>
      </c>
      <c r="I16" s="666">
        <f t="shared" ref="I16:I20" ca="1" si="1">IF(D16&lt;&gt;"",MAX(I15+G16-H15-F16,0),0)</f>
        <v>288577980</v>
      </c>
    </row>
    <row r="17" spans="1:9" ht="18" customHeight="1">
      <c r="A17" s="663">
        <f ca="1">IF(ROWS($1:3)&gt;COUNT(Dong5),"",OFFSET(TH!C$1,SMALL(Dong5,ROWS($1:3)),))</f>
        <v>42552</v>
      </c>
      <c r="B17" s="663" t="str">
        <f ca="1">IF(ROWS($1:3)&gt;COUNT(Dong5),"",OFFSET(TH!D$1,SMALL(Dong5,ROWS($1:3)),))</f>
        <v>GBN</v>
      </c>
      <c r="C17" s="663">
        <f ca="1">IF(ROWS($1:3)&gt;COUNT(Dong5),"",OFFSET(TH!E$1,SMALL(Dong5,ROWS($1:3)),))</f>
        <v>42516</v>
      </c>
      <c r="D17" s="664" t="str">
        <f ca="1">IF(ROWS($1:3)&gt;COUNT(Dong5),"",OFFSET(TH!F$1,SMALL(Dong5,ROWS($1:3)),))</f>
        <v>Phí bán 2 cuốn sec</v>
      </c>
      <c r="E17" s="663" t="str">
        <f ca="1">IF(ROWS($1:3)&gt;COUNT(Dong5),"",IF(OFFSET(TH!L$1,SMALL(Dong5,ROWS($1:3)),)=$E$7,OFFSET(TH!M$1,SMALL(Dong5,ROWS($1:3)),),OFFSET(TH!L$1,SMALL(Dong5,ROWS($1:3)),)))</f>
        <v>1121</v>
      </c>
      <c r="F17" s="665">
        <f ca="1">IF(ROWS($1:3)&gt;COUNT(Dong5),0,IF(OFFSET(TH!L$1,SMALL(Dong5,ROWS($1:3)),)=$E$7,OFFSET(TH!K$1,SMALL(Dong5,ROWS($1:3)),),0))</f>
        <v>20000</v>
      </c>
      <c r="G17" s="662">
        <f ca="1">IF(ROWS($1:3)&gt;COUNT(Dong5),0,IF(OFFSET(TH!M$1,SMALL(Dong5,ROWS($1:3)),)=$E$7,OFFSET(TH!K$1,SMALL(Dong5,ROWS($1:3)),),0))</f>
        <v>0</v>
      </c>
      <c r="H17" s="666">
        <f t="shared" ca="1" si="0"/>
        <v>0</v>
      </c>
      <c r="I17" s="666">
        <f t="shared" ca="1" si="1"/>
        <v>288557980</v>
      </c>
    </row>
    <row r="18" spans="1:9" ht="18" customHeight="1">
      <c r="A18" s="663">
        <f ca="1">IF(ROWS($1:4)&gt;COUNT(Dong5),"",OFFSET(TH!C$1,SMALL(Dong5,ROWS($1:4)),))</f>
        <v>42552</v>
      </c>
      <c r="B18" s="663" t="str">
        <f ca="1">IF(ROWS($1:4)&gt;COUNT(Dong5),"",OFFSET(TH!D$1,SMALL(Dong5,ROWS($1:4)),))</f>
        <v>CTGS</v>
      </c>
      <c r="C18" s="663">
        <f ca="1">IF(ROWS($1:4)&gt;COUNT(Dong5),"",OFFSET(TH!E$1,SMALL(Dong5,ROWS($1:4)),))</f>
        <v>42508</v>
      </c>
      <c r="D18" s="664" t="str">
        <f ca="1">IF(ROWS($1:4)&gt;COUNT(Dong5),"",OFFSET(TH!F$1,SMALL(Dong5,ROWS($1:4)),))</f>
        <v>Thuế môn bài phải nộp</v>
      </c>
      <c r="E18" s="663" t="str">
        <f ca="1">IF(ROWS($1:4)&gt;COUNT(Dong5),"",IF(OFFSET(TH!L$1,SMALL(Dong5,ROWS($1:4)),)=$E$7,OFFSET(TH!M$1,SMALL(Dong5,ROWS($1:4)),),OFFSET(TH!L$1,SMALL(Dong5,ROWS($1:4)),)))</f>
        <v>33382</v>
      </c>
      <c r="F18" s="665">
        <f ca="1">IF(ROWS($1:4)&gt;COUNT(Dong5),0,IF(OFFSET(TH!L$1,SMALL(Dong5,ROWS($1:4)),)=$E$7,OFFSET(TH!K$1,SMALL(Dong5,ROWS($1:4)),),0))</f>
        <v>1000000</v>
      </c>
      <c r="G18" s="662">
        <f ca="1">IF(ROWS($1:4)&gt;COUNT(Dong5),0,IF(OFFSET(TH!M$1,SMALL(Dong5,ROWS($1:4)),)=$E$7,OFFSET(TH!K$1,SMALL(Dong5,ROWS($1:4)),),0))</f>
        <v>0</v>
      </c>
      <c r="H18" s="666">
        <f t="shared" ca="1" si="0"/>
        <v>0</v>
      </c>
      <c r="I18" s="666">
        <f t="shared" ca="1" si="1"/>
        <v>287557980</v>
      </c>
    </row>
    <row r="19" spans="1:9" ht="18" customHeight="1">
      <c r="A19" s="663">
        <f ca="1">IF(ROWS($1:5)&gt;COUNT(Dong5),"",OFFSET(TH!C$1,SMALL(Dong5,ROWS($1:5)),))</f>
        <v>42552</v>
      </c>
      <c r="B19" s="663" t="str">
        <f ca="1">IF(ROWS($1:5)&gt;COUNT(Dong5),"",OFFSET(TH!D$1,SMALL(Dong5,ROWS($1:5)),))</f>
        <v>C04</v>
      </c>
      <c r="C19" s="663">
        <f ca="1">IF(ROWS($1:5)&gt;COUNT(Dong5),"",OFFSET(TH!E$1,SMALL(Dong5,ROWS($1:5)),))</f>
        <v>42532</v>
      </c>
      <c r="D19" s="664" t="str">
        <f ca="1">IF(ROWS($1:5)&gt;COUNT(Dong5),"",OFFSET(TH!F$1,SMALL(Dong5,ROWS($1:5)),))</f>
        <v>Đặt in hóa đơn</v>
      </c>
      <c r="E19" s="663" t="str">
        <f ca="1">IF(ROWS($1:5)&gt;COUNT(Dong5),"",IF(OFFSET(TH!L$1,SMALL(Dong5,ROWS($1:5)),)=$E$7,OFFSET(TH!M$1,SMALL(Dong5,ROWS($1:5)),),OFFSET(TH!L$1,SMALL(Dong5,ROWS($1:5)),)))</f>
        <v>1111</v>
      </c>
      <c r="F19" s="665">
        <f ca="1">IF(ROWS($1:5)&gt;COUNT(Dong5),0,IF(OFFSET(TH!L$1,SMALL(Dong5,ROWS($1:5)),)=$E$7,OFFSET(TH!K$1,SMALL(Dong5,ROWS($1:5)),),0))</f>
        <v>3800000</v>
      </c>
      <c r="G19" s="662">
        <f ca="1">IF(ROWS($1:5)&gt;COUNT(Dong5),0,IF(OFFSET(TH!M$1,SMALL(Dong5,ROWS($1:5)),)=$E$7,OFFSET(TH!K$1,SMALL(Dong5,ROWS($1:5)),),0))</f>
        <v>0</v>
      </c>
      <c r="H19" s="666">
        <f t="shared" ca="1" si="0"/>
        <v>0</v>
      </c>
      <c r="I19" s="666">
        <f t="shared" ca="1" si="1"/>
        <v>283757980</v>
      </c>
    </row>
    <row r="20" spans="1:9" ht="18" customHeight="1">
      <c r="A20" s="663">
        <f ca="1">IF(ROWS($1:6)&gt;COUNT(Dong5),"",OFFSET(TH!C$1,SMALL(Dong5,ROWS($1:6)),))</f>
        <v>42552</v>
      </c>
      <c r="B20" s="663" t="str">
        <f ca="1">IF(ROWS($1:6)&gt;COUNT(Dong5),"",OFFSET(TH!D$1,SMALL(Dong5,ROWS($1:6)),))</f>
        <v>GBN</v>
      </c>
      <c r="C20" s="663">
        <f ca="1">IF(ROWS($1:6)&gt;COUNT(Dong5),"",OFFSET(TH!E$1,SMALL(Dong5,ROWS($1:6)),))</f>
        <v>42546</v>
      </c>
      <c r="D20" s="664" t="str">
        <f ca="1">IF(ROWS($1:6)&gt;COUNT(Dong5),"",OFFSET(TH!F$1,SMALL(Dong5,ROWS($1:6)),))</f>
        <v>Phí quản lý tài khoản</v>
      </c>
      <c r="E20" s="663" t="str">
        <f ca="1">IF(ROWS($1:6)&gt;COUNT(Dong5),"",IF(OFFSET(TH!L$1,SMALL(Dong5,ROWS($1:6)),)=$E$7,OFFSET(TH!M$1,SMALL(Dong5,ROWS($1:6)),),OFFSET(TH!L$1,SMALL(Dong5,ROWS($1:6)),)))</f>
        <v>1121</v>
      </c>
      <c r="F20" s="665">
        <f ca="1">IF(ROWS($1:6)&gt;COUNT(Dong5),0,IF(OFFSET(TH!L$1,SMALL(Dong5,ROWS($1:6)),)=$E$7,OFFSET(TH!K$1,SMALL(Dong5,ROWS($1:6)),),0))</f>
        <v>10000</v>
      </c>
      <c r="G20" s="662">
        <f ca="1">IF(ROWS($1:6)&gt;COUNT(Dong5),0,IF(OFFSET(TH!M$1,SMALL(Dong5,ROWS($1:6)),)=$E$7,OFFSET(TH!K$1,SMALL(Dong5,ROWS($1:6)),),0))</f>
        <v>0</v>
      </c>
      <c r="H20" s="666">
        <f t="shared" ca="1" si="0"/>
        <v>0</v>
      </c>
      <c r="I20" s="666">
        <f t="shared" ca="1" si="1"/>
        <v>283747980</v>
      </c>
    </row>
    <row r="21" spans="1:9" ht="18" customHeight="1">
      <c r="A21" s="663">
        <f ca="1">IF(ROWS($1:7)&gt;COUNT(Dong5),"",OFFSET(TH!C$1,SMALL(Dong5,ROWS($1:7)),))</f>
        <v>42559</v>
      </c>
      <c r="B21" s="663" t="str">
        <f ca="1">IF(ROWS($1:7)&gt;COUNT(Dong5),"",OFFSET(TH!D$1,SMALL(Dong5,ROWS($1:7)),))</f>
        <v>GBN</v>
      </c>
      <c r="C21" s="663">
        <f ca="1">IF(ROWS($1:7)&gt;COUNT(Dong5),"",OFFSET(TH!E$1,SMALL(Dong5,ROWS($1:7)),))</f>
        <v>42559</v>
      </c>
      <c r="D21" s="664" t="str">
        <f ca="1">IF(ROWS($1:7)&gt;COUNT(Dong5),"",OFFSET(TH!F$1,SMALL(Dong5,ROWS($1:7)),))</f>
        <v>Phí chuyển tiền</v>
      </c>
      <c r="E21" s="663" t="str">
        <f ca="1">IF(ROWS($1:7)&gt;COUNT(Dong5),"",IF(OFFSET(TH!L$1,SMALL(Dong5,ROWS($1:7)),)=$E$7,OFFSET(TH!M$1,SMALL(Dong5,ROWS($1:7)),),OFFSET(TH!L$1,SMALL(Dong5,ROWS($1:7)),)))</f>
        <v>1121</v>
      </c>
      <c r="F21" s="665">
        <f ca="1">IF(ROWS($1:7)&gt;COUNT(Dong5),0,IF(OFFSET(TH!L$1,SMALL(Dong5,ROWS($1:7)),)=$E$7,OFFSET(TH!K$1,SMALL(Dong5,ROWS($1:7)),),0))</f>
        <v>20000</v>
      </c>
      <c r="G21" s="662">
        <f ca="1">IF(ROWS($1:7)&gt;COUNT(Dong5),0,IF(OFFSET(TH!M$1,SMALL(Dong5,ROWS($1:7)),)=$E$7,OFFSET(TH!K$1,SMALL(Dong5,ROWS($1:7)),),0))</f>
        <v>0</v>
      </c>
      <c r="H21" s="666">
        <f t="shared" ref="H21:H29" ca="1" si="2">IF(D21&lt;&gt;"",MAX(H20+F21-G21-I20,0),0)</f>
        <v>0</v>
      </c>
      <c r="I21" s="666">
        <f t="shared" ref="I21:I29" ca="1" si="3">IF(D21&lt;&gt;"",MAX(I20+G21-H20-F21,0),0)</f>
        <v>283727980</v>
      </c>
    </row>
    <row r="22" spans="1:9" ht="18" customHeight="1">
      <c r="A22" s="663">
        <f ca="1">IF(ROWS($1:8)&gt;COUNT(Dong5),"",OFFSET(TH!C$1,SMALL(Dong5,ROWS($1:8)),))</f>
        <v>42559</v>
      </c>
      <c r="B22" s="663" t="str">
        <f ca="1">IF(ROWS($1:8)&gt;COUNT(Dong5),"",OFFSET(TH!D$1,SMALL(Dong5,ROWS($1:8)),))</f>
        <v>GBN</v>
      </c>
      <c r="C22" s="663">
        <f ca="1">IF(ROWS($1:8)&gt;COUNT(Dong5),"",OFFSET(TH!E$1,SMALL(Dong5,ROWS($1:8)),))</f>
        <v>42559</v>
      </c>
      <c r="D22" s="664" t="str">
        <f ca="1">IF(ROWS($1:8)&gt;COUNT(Dong5),"",OFFSET(TH!F$1,SMALL(Dong5,ROWS($1:8)),))</f>
        <v>Phí chuyển tiền trong ngày</v>
      </c>
      <c r="E22" s="663" t="str">
        <f ca="1">IF(ROWS($1:8)&gt;COUNT(Dong5),"",IF(OFFSET(TH!L$1,SMALL(Dong5,ROWS($1:8)),)=$E$7,OFFSET(TH!M$1,SMALL(Dong5,ROWS($1:8)),),OFFSET(TH!L$1,SMALL(Dong5,ROWS($1:8)),)))</f>
        <v>1121</v>
      </c>
      <c r="F22" s="665">
        <f ca="1">IF(ROWS($1:8)&gt;COUNT(Dong5),0,IF(OFFSET(TH!L$1,SMALL(Dong5,ROWS($1:8)),)=$E$7,OFFSET(TH!K$1,SMALL(Dong5,ROWS($1:8)),),0))</f>
        <v>20000</v>
      </c>
      <c r="G22" s="662">
        <f ca="1">IF(ROWS($1:8)&gt;COUNT(Dong5),0,IF(OFFSET(TH!M$1,SMALL(Dong5,ROWS($1:8)),)=$E$7,OFFSET(TH!K$1,SMALL(Dong5,ROWS($1:8)),),0))</f>
        <v>0</v>
      </c>
      <c r="H22" s="666">
        <f t="shared" ca="1" si="2"/>
        <v>0</v>
      </c>
      <c r="I22" s="666">
        <f t="shared" ca="1" si="3"/>
        <v>283707980</v>
      </c>
    </row>
    <row r="23" spans="1:9" ht="18" customHeight="1">
      <c r="A23" s="663">
        <f ca="1">IF(ROWS($1:9)&gt;COUNT(Dong5),"",OFFSET(TH!C$1,SMALL(Dong5,ROWS($1:9)),))</f>
        <v>42576</v>
      </c>
      <c r="B23" s="663" t="str">
        <f ca="1">IF(ROWS($1:9)&gt;COUNT(Dong5),"",OFFSET(TH!D$1,SMALL(Dong5,ROWS($1:9)),))</f>
        <v>GBN</v>
      </c>
      <c r="C23" s="663">
        <f ca="1">IF(ROWS($1:9)&gt;COUNT(Dong5),"",OFFSET(TH!E$1,SMALL(Dong5,ROWS($1:9)),))</f>
        <v>42576</v>
      </c>
      <c r="D23" s="664" t="str">
        <f ca="1">IF(ROWS($1:9)&gt;COUNT(Dong5),"",OFFSET(TH!F$1,SMALL(Dong5,ROWS($1:9)),))</f>
        <v>Phí quản lý tài khoản</v>
      </c>
      <c r="E23" s="663" t="str">
        <f ca="1">IF(ROWS($1:9)&gt;COUNT(Dong5),"",IF(OFFSET(TH!L$1,SMALL(Dong5,ROWS($1:9)),)=$E$7,OFFSET(TH!M$1,SMALL(Dong5,ROWS($1:9)),),OFFSET(TH!L$1,SMALL(Dong5,ROWS($1:9)),)))</f>
        <v>1121</v>
      </c>
      <c r="F23" s="665">
        <f ca="1">IF(ROWS($1:9)&gt;COUNT(Dong5),0,IF(OFFSET(TH!L$1,SMALL(Dong5,ROWS($1:9)),)=$E$7,OFFSET(TH!K$1,SMALL(Dong5,ROWS($1:9)),),0))</f>
        <v>10000</v>
      </c>
      <c r="G23" s="662">
        <f ca="1">IF(ROWS($1:9)&gt;COUNT(Dong5),0,IF(OFFSET(TH!M$1,SMALL(Dong5,ROWS($1:9)),)=$E$7,OFFSET(TH!K$1,SMALL(Dong5,ROWS($1:9)),),0))</f>
        <v>0</v>
      </c>
      <c r="H23" s="666">
        <f t="shared" ca="1" si="2"/>
        <v>0</v>
      </c>
      <c r="I23" s="666">
        <f t="shared" ca="1" si="3"/>
        <v>283697980</v>
      </c>
    </row>
    <row r="24" spans="1:9" ht="18" customHeight="1">
      <c r="A24" s="663">
        <f ca="1">IF(ROWS($1:10)&gt;COUNT(Dong5),"",OFFSET(TH!C$1,SMALL(Dong5,ROWS($1:10)),))</f>
        <v>42576</v>
      </c>
      <c r="B24" s="663" t="str">
        <f ca="1">IF(ROWS($1:10)&gt;COUNT(Dong5),"",OFFSET(TH!D$1,SMALL(Dong5,ROWS($1:10)),))</f>
        <v>C07</v>
      </c>
      <c r="C24" s="663">
        <f ca="1">IF(ROWS($1:10)&gt;COUNT(Dong5),"",OFFSET(TH!E$1,SMALL(Dong5,ROWS($1:10)),))</f>
        <v>42576</v>
      </c>
      <c r="D24" s="664" t="str">
        <f ca="1">IF(ROWS($1:10)&gt;COUNT(Dong5),"",OFFSET(TH!F$1,SMALL(Dong5,ROWS($1:10)),))</f>
        <v>Đóng hộ tiền điện</v>
      </c>
      <c r="E24" s="663" t="str">
        <f ca="1">IF(ROWS($1:10)&gt;COUNT(Dong5),"",IF(OFFSET(TH!L$1,SMALL(Dong5,ROWS($1:10)),)=$E$7,OFFSET(TH!M$1,SMALL(Dong5,ROWS($1:10)),),OFFSET(TH!L$1,SMALL(Dong5,ROWS($1:10)),)))</f>
        <v>1111</v>
      </c>
      <c r="F24" s="665">
        <f ca="1">IF(ROWS($1:10)&gt;COUNT(Dong5),0,IF(OFFSET(TH!L$1,SMALL(Dong5,ROWS($1:10)),)=$E$7,OFFSET(TH!K$1,SMALL(Dong5,ROWS($1:10)),),0))</f>
        <v>17110500</v>
      </c>
      <c r="G24" s="662">
        <f ca="1">IF(ROWS($1:10)&gt;COUNT(Dong5),0,IF(OFFSET(TH!M$1,SMALL(Dong5,ROWS($1:10)),)=$E$7,OFFSET(TH!K$1,SMALL(Dong5,ROWS($1:10)),),0))</f>
        <v>0</v>
      </c>
      <c r="H24" s="666">
        <f t="shared" ca="1" si="2"/>
        <v>0</v>
      </c>
      <c r="I24" s="666">
        <f t="shared" ca="1" si="3"/>
        <v>266587480</v>
      </c>
    </row>
    <row r="25" spans="1:9" ht="18" customHeight="1">
      <c r="A25" s="663">
        <f ca="1">IF(ROWS($1:11)&gt;COUNT(Dong5),"",OFFSET(TH!C$1,SMALL(Dong5,ROWS($1:11)),))</f>
        <v>42582</v>
      </c>
      <c r="B25" s="663" t="str">
        <f ca="1">IF(ROWS($1:11)&gt;COUNT(Dong5),"",OFFSET(TH!D$1,SMALL(Dong5,ROWS($1:11)),))</f>
        <v>CTGS</v>
      </c>
      <c r="C25" s="663">
        <f ca="1">IF(ROWS($1:11)&gt;COUNT(Dong5),"",OFFSET(TH!E$1,SMALL(Dong5,ROWS($1:11)),))</f>
        <v>42582</v>
      </c>
      <c r="D25" s="664" t="str">
        <f ca="1">IF(ROWS($1:11)&gt;COUNT(Dong5),"",OFFSET(TH!F$1,SMALL(Dong5,ROWS($1:11)),))</f>
        <v>Tiền lương BP Văn phòng</v>
      </c>
      <c r="E25" s="663" t="str">
        <f ca="1">IF(ROWS($1:11)&gt;COUNT(Dong5),"",IF(OFFSET(TH!L$1,SMALL(Dong5,ROWS($1:11)),)=$E$7,OFFSET(TH!M$1,SMALL(Dong5,ROWS($1:11)),),OFFSET(TH!L$1,SMALL(Dong5,ROWS($1:11)),)))</f>
        <v>3341</v>
      </c>
      <c r="F25" s="665">
        <f ca="1">IF(ROWS($1:11)&gt;COUNT(Dong5),0,IF(OFFSET(TH!L$1,SMALL(Dong5,ROWS($1:11)),)=$E$7,OFFSET(TH!K$1,SMALL(Dong5,ROWS($1:11)),),0))</f>
        <v>4390000</v>
      </c>
      <c r="G25" s="662">
        <f ca="1">IF(ROWS($1:11)&gt;COUNT(Dong5),0,IF(OFFSET(TH!M$1,SMALL(Dong5,ROWS($1:11)),)=$E$7,OFFSET(TH!K$1,SMALL(Dong5,ROWS($1:11)),),0))</f>
        <v>0</v>
      </c>
      <c r="H25" s="666">
        <f t="shared" ca="1" si="2"/>
        <v>0</v>
      </c>
      <c r="I25" s="666">
        <f t="shared" ca="1" si="3"/>
        <v>262197480</v>
      </c>
    </row>
    <row r="26" spans="1:9" ht="18" customHeight="1">
      <c r="A26" s="663">
        <f ca="1">IF(ROWS($1:12)&gt;COUNT(Dong5),"",OFFSET(TH!C$1,SMALL(Dong5,ROWS($1:12)),))</f>
        <v>42590</v>
      </c>
      <c r="B26" s="663" t="str">
        <f ca="1">IF(ROWS($1:12)&gt;COUNT(Dong5),"",OFFSET(TH!D$1,SMALL(Dong5,ROWS($1:12)),))</f>
        <v>C12</v>
      </c>
      <c r="C26" s="663">
        <f ca="1">IF(ROWS($1:12)&gt;COUNT(Dong5),"",OFFSET(TH!E$1,SMALL(Dong5,ROWS($1:12)),))</f>
        <v>42590</v>
      </c>
      <c r="D26" s="664" t="str">
        <f ca="1">IF(ROWS($1:12)&gt;COUNT(Dong5),"",OFFSET(TH!F$1,SMALL(Dong5,ROWS($1:12)),))</f>
        <v>Khuông hộp</v>
      </c>
      <c r="E26" s="663" t="str">
        <f ca="1">IF(ROWS($1:12)&gt;COUNT(Dong5),"",IF(OFFSET(TH!L$1,SMALL(Dong5,ROWS($1:12)),)=$E$7,OFFSET(TH!M$1,SMALL(Dong5,ROWS($1:12)),),OFFSET(TH!L$1,SMALL(Dong5,ROWS($1:12)),)))</f>
        <v>1111</v>
      </c>
      <c r="F26" s="665">
        <f ca="1">IF(ROWS($1:12)&gt;COUNT(Dong5),0,IF(OFFSET(TH!L$1,SMALL(Dong5,ROWS($1:12)),)=$E$7,OFFSET(TH!K$1,SMALL(Dong5,ROWS($1:12)),),0))</f>
        <v>1400000</v>
      </c>
      <c r="G26" s="662">
        <f ca="1">IF(ROWS($1:12)&gt;COUNT(Dong5),0,IF(OFFSET(TH!M$1,SMALL(Dong5,ROWS($1:12)),)=$E$7,OFFSET(TH!K$1,SMALL(Dong5,ROWS($1:12)),),0))</f>
        <v>0</v>
      </c>
      <c r="H26" s="666">
        <f t="shared" ca="1" si="2"/>
        <v>0</v>
      </c>
      <c r="I26" s="666">
        <f t="shared" ca="1" si="3"/>
        <v>260797480</v>
      </c>
    </row>
    <row r="27" spans="1:9" ht="18" customHeight="1">
      <c r="A27" s="663">
        <f ca="1">IF(ROWS($1:13)&gt;COUNT(Dong5),"",OFFSET(TH!C$1,SMALL(Dong5,ROWS($1:13)),))</f>
        <v>42601</v>
      </c>
      <c r="B27" s="663" t="str">
        <f ca="1">IF(ROWS($1:13)&gt;COUNT(Dong5),"",OFFSET(TH!D$1,SMALL(Dong5,ROWS($1:13)),))</f>
        <v>GBN</v>
      </c>
      <c r="C27" s="663">
        <f ca="1">IF(ROWS($1:13)&gt;COUNT(Dong5),"",OFFSET(TH!E$1,SMALL(Dong5,ROWS($1:13)),))</f>
        <v>42601</v>
      </c>
      <c r="D27" s="664" t="str">
        <f ca="1">IF(ROWS($1:13)&gt;COUNT(Dong5),"",OFFSET(TH!F$1,SMALL(Dong5,ROWS($1:13)),))</f>
        <v>Phí chuyển tiền</v>
      </c>
      <c r="E27" s="663" t="str">
        <f ca="1">IF(ROWS($1:13)&gt;COUNT(Dong5),"",IF(OFFSET(TH!L$1,SMALL(Dong5,ROWS($1:13)),)=$E$7,OFFSET(TH!M$1,SMALL(Dong5,ROWS($1:13)),),OFFSET(TH!L$1,SMALL(Dong5,ROWS($1:13)),)))</f>
        <v>1121</v>
      </c>
      <c r="F27" s="665">
        <f ca="1">IF(ROWS($1:13)&gt;COUNT(Dong5),0,IF(OFFSET(TH!L$1,SMALL(Dong5,ROWS($1:13)),)=$E$7,OFFSET(TH!K$1,SMALL(Dong5,ROWS($1:13)),),0))</f>
        <v>10000</v>
      </c>
      <c r="G27" s="662">
        <f ca="1">IF(ROWS($1:13)&gt;COUNT(Dong5),0,IF(OFFSET(TH!M$1,SMALL(Dong5,ROWS($1:13)),)=$E$7,OFFSET(TH!K$1,SMALL(Dong5,ROWS($1:13)),),0))</f>
        <v>0</v>
      </c>
      <c r="H27" s="666">
        <f t="shared" ca="1" si="2"/>
        <v>0</v>
      </c>
      <c r="I27" s="666">
        <f t="shared" ca="1" si="3"/>
        <v>260787480</v>
      </c>
    </row>
    <row r="28" spans="1:9" ht="18" customHeight="1">
      <c r="A28" s="663">
        <f ca="1">IF(ROWS($1:14)&gt;COUNT(Dong5),"",OFFSET(TH!C$1,SMALL(Dong5,ROWS($1:14)),))</f>
        <v>42601</v>
      </c>
      <c r="B28" s="663" t="str">
        <f ca="1">IF(ROWS($1:14)&gt;COUNT(Dong5),"",OFFSET(TH!D$1,SMALL(Dong5,ROWS($1:14)),))</f>
        <v>GBN</v>
      </c>
      <c r="C28" s="663">
        <f ca="1">IF(ROWS($1:14)&gt;COUNT(Dong5),"",OFFSET(TH!E$1,SMALL(Dong5,ROWS($1:14)),))</f>
        <v>42601</v>
      </c>
      <c r="D28" s="664" t="str">
        <f ca="1">IF(ROWS($1:14)&gt;COUNT(Dong5),"",OFFSET(TH!F$1,SMALL(Dong5,ROWS($1:14)),))</f>
        <v>Phí chuyển tiền</v>
      </c>
      <c r="E28" s="663" t="str">
        <f ca="1">IF(ROWS($1:14)&gt;COUNT(Dong5),"",IF(OFFSET(TH!L$1,SMALL(Dong5,ROWS($1:14)),)=$E$7,OFFSET(TH!M$1,SMALL(Dong5,ROWS($1:14)),),OFFSET(TH!L$1,SMALL(Dong5,ROWS($1:14)),)))</f>
        <v>1121</v>
      </c>
      <c r="F28" s="665">
        <f ca="1">IF(ROWS($1:14)&gt;COUNT(Dong5),0,IF(OFFSET(TH!L$1,SMALL(Dong5,ROWS($1:14)),)=$E$7,OFFSET(TH!K$1,SMALL(Dong5,ROWS($1:14)),),0))</f>
        <v>20000</v>
      </c>
      <c r="G28" s="662">
        <f ca="1">IF(ROWS($1:14)&gt;COUNT(Dong5),0,IF(OFFSET(TH!M$1,SMALL(Dong5,ROWS($1:14)),)=$E$7,OFFSET(TH!K$1,SMALL(Dong5,ROWS($1:14)),),0))</f>
        <v>0</v>
      </c>
      <c r="H28" s="666">
        <f t="shared" ca="1" si="2"/>
        <v>0</v>
      </c>
      <c r="I28" s="666">
        <f t="shared" ca="1" si="3"/>
        <v>260767480</v>
      </c>
    </row>
    <row r="29" spans="1:9" ht="18" customHeight="1">
      <c r="A29" s="663">
        <f ca="1">IF(ROWS($1:15)&gt;COUNT(Dong5),"",OFFSET(TH!C$1,SMALL(Dong5,ROWS($1:15)),))</f>
        <v>42601</v>
      </c>
      <c r="B29" s="663" t="str">
        <f ca="1">IF(ROWS($1:15)&gt;COUNT(Dong5),"",OFFSET(TH!D$1,SMALL(Dong5,ROWS($1:15)),))</f>
        <v>GBN</v>
      </c>
      <c r="C29" s="663">
        <f ca="1">IF(ROWS($1:15)&gt;COUNT(Dong5),"",OFFSET(TH!E$1,SMALL(Dong5,ROWS($1:15)),))</f>
        <v>42601</v>
      </c>
      <c r="D29" s="664" t="str">
        <f ca="1">IF(ROWS($1:15)&gt;COUNT(Dong5),"",OFFSET(TH!F$1,SMALL(Dong5,ROWS($1:15)),))</f>
        <v>Phí chuyển tiền</v>
      </c>
      <c r="E29" s="663" t="str">
        <f ca="1">IF(ROWS($1:15)&gt;COUNT(Dong5),"",IF(OFFSET(TH!L$1,SMALL(Dong5,ROWS($1:15)),)=$E$7,OFFSET(TH!M$1,SMALL(Dong5,ROWS($1:15)),),OFFSET(TH!L$1,SMALL(Dong5,ROWS($1:15)),)))</f>
        <v>1121</v>
      </c>
      <c r="F29" s="665">
        <f ca="1">IF(ROWS($1:15)&gt;COUNT(Dong5),0,IF(OFFSET(TH!L$1,SMALL(Dong5,ROWS($1:15)),)=$E$7,OFFSET(TH!K$1,SMALL(Dong5,ROWS($1:15)),),0))</f>
        <v>20000</v>
      </c>
      <c r="G29" s="662">
        <f ca="1">IF(ROWS($1:15)&gt;COUNT(Dong5),0,IF(OFFSET(TH!M$1,SMALL(Dong5,ROWS($1:15)),)=$E$7,OFFSET(TH!K$1,SMALL(Dong5,ROWS($1:15)),),0))</f>
        <v>0</v>
      </c>
      <c r="H29" s="666">
        <f t="shared" ca="1" si="2"/>
        <v>0</v>
      </c>
      <c r="I29" s="666">
        <f t="shared" ca="1" si="3"/>
        <v>260747480</v>
      </c>
    </row>
    <row r="30" spans="1:9" ht="18" customHeight="1">
      <c r="A30" s="663">
        <f ca="1">IF(ROWS($1:16)&gt;COUNT(Dong5),"",OFFSET(TH!C$1,SMALL(Dong5,ROWS($1:16)),))</f>
        <v>42601</v>
      </c>
      <c r="B30" s="663" t="str">
        <f ca="1">IF(ROWS($1:16)&gt;COUNT(Dong5),"",OFFSET(TH!D$1,SMALL(Dong5,ROWS($1:16)),))</f>
        <v>GBN</v>
      </c>
      <c r="C30" s="663">
        <f ca="1">IF(ROWS($1:16)&gt;COUNT(Dong5),"",OFFSET(TH!E$1,SMALL(Dong5,ROWS($1:16)),))</f>
        <v>42601</v>
      </c>
      <c r="D30" s="664" t="str">
        <f ca="1">IF(ROWS($1:16)&gt;COUNT(Dong5),"",OFFSET(TH!F$1,SMALL(Dong5,ROWS($1:16)),))</f>
        <v>Phí kiểm đếm</v>
      </c>
      <c r="E30" s="663" t="str">
        <f ca="1">IF(ROWS($1:16)&gt;COUNT(Dong5),"",IF(OFFSET(TH!L$1,SMALL(Dong5,ROWS($1:16)),)=$E$7,OFFSET(TH!M$1,SMALL(Dong5,ROWS($1:16)),),OFFSET(TH!L$1,SMALL(Dong5,ROWS($1:16)),)))</f>
        <v>1121</v>
      </c>
      <c r="F30" s="665">
        <f ca="1">IF(ROWS($1:16)&gt;COUNT(Dong5),0,IF(OFFSET(TH!L$1,SMALL(Dong5,ROWS($1:16)),)=$E$7,OFFSET(TH!K$1,SMALL(Dong5,ROWS($1:16)),),0))</f>
        <v>83010</v>
      </c>
      <c r="G30" s="662">
        <f ca="1">IF(ROWS($1:16)&gt;COUNT(Dong5),0,IF(OFFSET(TH!M$1,SMALL(Dong5,ROWS($1:16)),)=$E$7,OFFSET(TH!K$1,SMALL(Dong5,ROWS($1:16)),),0))</f>
        <v>0</v>
      </c>
      <c r="H30" s="666">
        <f t="shared" ref="H30:H38" ca="1" si="4">IF(D30&lt;&gt;"",MAX(H29+F30-G30-I29,0),0)</f>
        <v>0</v>
      </c>
      <c r="I30" s="666">
        <f t="shared" ref="I30:I38" ca="1" si="5">IF(D30&lt;&gt;"",MAX(I29+G30-H29-F30,0),0)</f>
        <v>260664470</v>
      </c>
    </row>
    <row r="31" spans="1:9" ht="18" customHeight="1">
      <c r="A31" s="663">
        <f ca="1">IF(ROWS($1:17)&gt;COUNT(Dong5),"",OFFSET(TH!C$1,SMALL(Dong5,ROWS($1:17)),))</f>
        <v>42604</v>
      </c>
      <c r="B31" s="663" t="str">
        <f ca="1">IF(ROWS($1:17)&gt;COUNT(Dong5),"",OFFSET(TH!D$1,SMALL(Dong5,ROWS($1:17)),))</f>
        <v>C16</v>
      </c>
      <c r="C31" s="663">
        <f ca="1">IF(ROWS($1:17)&gt;COUNT(Dong5),"",OFFSET(TH!E$1,SMALL(Dong5,ROWS($1:17)),))</f>
        <v>42604</v>
      </c>
      <c r="D31" s="664" t="str">
        <f ca="1">IF(ROWS($1:17)&gt;COUNT(Dong5),"",OFFSET(TH!F$1,SMALL(Dong5,ROWS($1:17)),))</f>
        <v>Khuông hộp</v>
      </c>
      <c r="E31" s="663" t="str">
        <f ca="1">IF(ROWS($1:17)&gt;COUNT(Dong5),"",IF(OFFSET(TH!L$1,SMALL(Dong5,ROWS($1:17)),)=$E$7,OFFSET(TH!M$1,SMALL(Dong5,ROWS($1:17)),),OFFSET(TH!L$1,SMALL(Dong5,ROWS($1:17)),)))</f>
        <v>1111</v>
      </c>
      <c r="F31" s="665">
        <f ca="1">IF(ROWS($1:17)&gt;COUNT(Dong5),0,IF(OFFSET(TH!L$1,SMALL(Dong5,ROWS($1:17)),)=$E$7,OFFSET(TH!K$1,SMALL(Dong5,ROWS($1:17)),),0))</f>
        <v>1840000</v>
      </c>
      <c r="G31" s="662">
        <f ca="1">IF(ROWS($1:17)&gt;COUNT(Dong5),0,IF(OFFSET(TH!M$1,SMALL(Dong5,ROWS($1:17)),)=$E$7,OFFSET(TH!K$1,SMALL(Dong5,ROWS($1:17)),),0))</f>
        <v>0</v>
      </c>
      <c r="H31" s="666">
        <f t="shared" ca="1" si="4"/>
        <v>0</v>
      </c>
      <c r="I31" s="666">
        <f t="shared" ca="1" si="5"/>
        <v>258824470</v>
      </c>
    </row>
    <row r="32" spans="1:9" ht="18" customHeight="1">
      <c r="A32" s="663">
        <f ca="1">IF(ROWS($1:18)&gt;COUNT(Dong5),"",OFFSET(TH!C$1,SMALL(Dong5,ROWS($1:18)),))</f>
        <v>42607</v>
      </c>
      <c r="B32" s="663" t="str">
        <f ca="1">IF(ROWS($1:18)&gt;COUNT(Dong5),"",OFFSET(TH!D$1,SMALL(Dong5,ROWS($1:18)),))</f>
        <v>GBN</v>
      </c>
      <c r="C32" s="663">
        <f ca="1">IF(ROWS($1:18)&gt;COUNT(Dong5),"",OFFSET(TH!E$1,SMALL(Dong5,ROWS($1:18)),))</f>
        <v>42607</v>
      </c>
      <c r="D32" s="664" t="str">
        <f ca="1">IF(ROWS($1:18)&gt;COUNT(Dong5),"",OFFSET(TH!F$1,SMALL(Dong5,ROWS($1:18)),))</f>
        <v>Phí rút tiền</v>
      </c>
      <c r="E32" s="663" t="str">
        <f ca="1">IF(ROWS($1:18)&gt;COUNT(Dong5),"",IF(OFFSET(TH!L$1,SMALL(Dong5,ROWS($1:18)),)=$E$7,OFFSET(TH!M$1,SMALL(Dong5,ROWS($1:18)),),OFFSET(TH!L$1,SMALL(Dong5,ROWS($1:18)),)))</f>
        <v>1121</v>
      </c>
      <c r="F32" s="665">
        <f ca="1">IF(ROWS($1:18)&gt;COUNT(Dong5),0,IF(OFFSET(TH!L$1,SMALL(Dong5,ROWS($1:18)),)=$E$7,OFFSET(TH!K$1,SMALL(Dong5,ROWS($1:18)),),0))</f>
        <v>20000</v>
      </c>
      <c r="G32" s="662">
        <f ca="1">IF(ROWS($1:18)&gt;COUNT(Dong5),0,IF(OFFSET(TH!M$1,SMALL(Dong5,ROWS($1:18)),)=$E$7,OFFSET(TH!K$1,SMALL(Dong5,ROWS($1:18)),),0))</f>
        <v>0</v>
      </c>
      <c r="H32" s="666">
        <f t="shared" ca="1" si="4"/>
        <v>0</v>
      </c>
      <c r="I32" s="666">
        <f t="shared" ca="1" si="5"/>
        <v>258804470</v>
      </c>
    </row>
    <row r="33" spans="1:9" ht="18" customHeight="1">
      <c r="A33" s="663">
        <f ca="1">IF(ROWS($1:19)&gt;COUNT(Dong5),"",OFFSET(TH!C$1,SMALL(Dong5,ROWS($1:19)),))</f>
        <v>42607</v>
      </c>
      <c r="B33" s="663" t="str">
        <f ca="1">IF(ROWS($1:19)&gt;COUNT(Dong5),"",OFFSET(TH!D$1,SMALL(Dong5,ROWS($1:19)),))</f>
        <v>GBN</v>
      </c>
      <c r="C33" s="663">
        <f ca="1">IF(ROWS($1:19)&gt;COUNT(Dong5),"",OFFSET(TH!E$1,SMALL(Dong5,ROWS($1:19)),))</f>
        <v>42607</v>
      </c>
      <c r="D33" s="664" t="str">
        <f ca="1">IF(ROWS($1:19)&gt;COUNT(Dong5),"",OFFSET(TH!F$1,SMALL(Dong5,ROWS($1:19)),))</f>
        <v>Phí quản lý tài khoản</v>
      </c>
      <c r="E33" s="663" t="str">
        <f ca="1">IF(ROWS($1:19)&gt;COUNT(Dong5),"",IF(OFFSET(TH!L$1,SMALL(Dong5,ROWS($1:19)),)=$E$7,OFFSET(TH!M$1,SMALL(Dong5,ROWS($1:19)),),OFFSET(TH!L$1,SMALL(Dong5,ROWS($1:19)),)))</f>
        <v>1121</v>
      </c>
      <c r="F33" s="665">
        <f ca="1">IF(ROWS($1:19)&gt;COUNT(Dong5),0,IF(OFFSET(TH!L$1,SMALL(Dong5,ROWS($1:19)),)=$E$7,OFFSET(TH!K$1,SMALL(Dong5,ROWS($1:19)),),0))</f>
        <v>10000</v>
      </c>
      <c r="G33" s="662">
        <f ca="1">IF(ROWS($1:19)&gt;COUNT(Dong5),0,IF(OFFSET(TH!M$1,SMALL(Dong5,ROWS($1:19)),)=$E$7,OFFSET(TH!K$1,SMALL(Dong5,ROWS($1:19)),),0))</f>
        <v>0</v>
      </c>
      <c r="H33" s="666">
        <f t="shared" ca="1" si="4"/>
        <v>0</v>
      </c>
      <c r="I33" s="666">
        <f t="shared" ca="1" si="5"/>
        <v>258794470</v>
      </c>
    </row>
    <row r="34" spans="1:9" ht="18" customHeight="1">
      <c r="A34" s="663">
        <f ca="1">IF(ROWS($1:20)&gt;COUNT(Dong5),"",OFFSET(TH!C$1,SMALL(Dong5,ROWS($1:20)),))</f>
        <v>42613</v>
      </c>
      <c r="B34" s="663" t="str">
        <f ca="1">IF(ROWS($1:20)&gt;COUNT(Dong5),"",OFFSET(TH!D$1,SMALL(Dong5,ROWS($1:20)),))</f>
        <v>CTGS</v>
      </c>
      <c r="C34" s="663">
        <f ca="1">IF(ROWS($1:20)&gt;COUNT(Dong5),"",OFFSET(TH!E$1,SMALL(Dong5,ROWS($1:20)),))</f>
        <v>42613</v>
      </c>
      <c r="D34" s="664" t="str">
        <f ca="1">IF(ROWS($1:20)&gt;COUNT(Dong5),"",OFFSET(TH!F$1,SMALL(Dong5,ROWS($1:20)),))</f>
        <v>Tiền lương BP Văn phòng</v>
      </c>
      <c r="E34" s="663" t="str">
        <f ca="1">IF(ROWS($1:20)&gt;COUNT(Dong5),"",IF(OFFSET(TH!L$1,SMALL(Dong5,ROWS($1:20)),)=$E$7,OFFSET(TH!M$1,SMALL(Dong5,ROWS($1:20)),),OFFSET(TH!L$1,SMALL(Dong5,ROWS($1:20)),)))</f>
        <v>3341</v>
      </c>
      <c r="F34" s="665">
        <f ca="1">IF(ROWS($1:20)&gt;COUNT(Dong5),0,IF(OFFSET(TH!L$1,SMALL(Dong5,ROWS($1:20)),)=$E$7,OFFSET(TH!K$1,SMALL(Dong5,ROWS($1:20)),),0))</f>
        <v>4405000</v>
      </c>
      <c r="G34" s="662">
        <f ca="1">IF(ROWS($1:20)&gt;COUNT(Dong5),0,IF(OFFSET(TH!M$1,SMALL(Dong5,ROWS($1:20)),)=$E$7,OFFSET(TH!K$1,SMALL(Dong5,ROWS($1:20)),),0))</f>
        <v>0</v>
      </c>
      <c r="H34" s="666">
        <f t="shared" ca="1" si="4"/>
        <v>0</v>
      </c>
      <c r="I34" s="666">
        <f t="shared" ca="1" si="5"/>
        <v>254389470</v>
      </c>
    </row>
    <row r="35" spans="1:9" ht="18" customHeight="1">
      <c r="A35" s="663">
        <f ca="1">IF(ROWS($1:21)&gt;COUNT(Dong5),"",OFFSET(TH!C$1,SMALL(Dong5,ROWS($1:21)),))</f>
        <v>42614</v>
      </c>
      <c r="B35" s="663" t="str">
        <f ca="1">IF(ROWS($1:21)&gt;COUNT(Dong5),"",OFFSET(TH!D$1,SMALL(Dong5,ROWS($1:21)),))</f>
        <v>GBN</v>
      </c>
      <c r="C35" s="663">
        <f ca="1">IF(ROWS($1:21)&gt;COUNT(Dong5),"",OFFSET(TH!E$1,SMALL(Dong5,ROWS($1:21)),))</f>
        <v>42614</v>
      </c>
      <c r="D35" s="664" t="str">
        <f ca="1">IF(ROWS($1:21)&gt;COUNT(Dong5),"",OFFSET(TH!F$1,SMALL(Dong5,ROWS($1:21)),))</f>
        <v>Phí chuyển tiền</v>
      </c>
      <c r="E35" s="663" t="str">
        <f ca="1">IF(ROWS($1:21)&gt;COUNT(Dong5),"",IF(OFFSET(TH!L$1,SMALL(Dong5,ROWS($1:21)),)=$E$7,OFFSET(TH!M$1,SMALL(Dong5,ROWS($1:21)),),OFFSET(TH!L$1,SMALL(Dong5,ROWS($1:21)),)))</f>
        <v>1121</v>
      </c>
      <c r="F35" s="665">
        <f ca="1">IF(ROWS($1:21)&gt;COUNT(Dong5),0,IF(OFFSET(TH!L$1,SMALL(Dong5,ROWS($1:21)),)=$E$7,OFFSET(TH!K$1,SMALL(Dong5,ROWS($1:21)),),0))</f>
        <v>20000</v>
      </c>
      <c r="G35" s="662">
        <f ca="1">IF(ROWS($1:21)&gt;COUNT(Dong5),0,IF(OFFSET(TH!M$1,SMALL(Dong5,ROWS($1:21)),)=$E$7,OFFSET(TH!K$1,SMALL(Dong5,ROWS($1:21)),),0))</f>
        <v>0</v>
      </c>
      <c r="H35" s="666">
        <f t="shared" ca="1" si="4"/>
        <v>0</v>
      </c>
      <c r="I35" s="666">
        <f t="shared" ca="1" si="5"/>
        <v>254369470</v>
      </c>
    </row>
    <row r="36" spans="1:9" ht="18" customHeight="1">
      <c r="A36" s="663">
        <f ca="1">IF(ROWS($1:22)&gt;COUNT(Dong5),"",OFFSET(TH!C$1,SMALL(Dong5,ROWS($1:22)),))</f>
        <v>42622</v>
      </c>
      <c r="B36" s="663" t="str">
        <f ca="1">IF(ROWS($1:22)&gt;COUNT(Dong5),"",OFFSET(TH!D$1,SMALL(Dong5,ROWS($1:22)),))</f>
        <v>GBN</v>
      </c>
      <c r="C36" s="663">
        <f ca="1">IF(ROWS($1:22)&gt;COUNT(Dong5),"",OFFSET(TH!E$1,SMALL(Dong5,ROWS($1:22)),))</f>
        <v>42622</v>
      </c>
      <c r="D36" s="664" t="str">
        <f ca="1">IF(ROWS($1:22)&gt;COUNT(Dong5),"",OFFSET(TH!F$1,SMALL(Dong5,ROWS($1:22)),))</f>
        <v>Phí chuyển tiền</v>
      </c>
      <c r="E36" s="663" t="str">
        <f ca="1">IF(ROWS($1:22)&gt;COUNT(Dong5),"",IF(OFFSET(TH!L$1,SMALL(Dong5,ROWS($1:22)),)=$E$7,OFFSET(TH!M$1,SMALL(Dong5,ROWS($1:22)),),OFFSET(TH!L$1,SMALL(Dong5,ROWS($1:22)),)))</f>
        <v>1121</v>
      </c>
      <c r="F36" s="665">
        <f ca="1">IF(ROWS($1:22)&gt;COUNT(Dong5),0,IF(OFFSET(TH!L$1,SMALL(Dong5,ROWS($1:22)),)=$E$7,OFFSET(TH!K$1,SMALL(Dong5,ROWS($1:22)),),0))</f>
        <v>10000</v>
      </c>
      <c r="G36" s="662">
        <f ca="1">IF(ROWS($1:22)&gt;COUNT(Dong5),0,IF(OFFSET(TH!M$1,SMALL(Dong5,ROWS($1:22)),)=$E$7,OFFSET(TH!K$1,SMALL(Dong5,ROWS($1:22)),),0))</f>
        <v>0</v>
      </c>
      <c r="H36" s="666">
        <f t="shared" ca="1" si="4"/>
        <v>0</v>
      </c>
      <c r="I36" s="666">
        <f t="shared" ca="1" si="5"/>
        <v>254359470</v>
      </c>
    </row>
    <row r="37" spans="1:9" ht="18" customHeight="1">
      <c r="A37" s="663">
        <f ca="1">IF(ROWS($1:23)&gt;COUNT(Dong5),"",OFFSET(TH!C$1,SMALL(Dong5,ROWS($1:23)),))</f>
        <v>42626</v>
      </c>
      <c r="B37" s="663" t="str">
        <f ca="1">IF(ROWS($1:23)&gt;COUNT(Dong5),"",OFFSET(TH!D$1,SMALL(Dong5,ROWS($1:23)),))</f>
        <v>GBN</v>
      </c>
      <c r="C37" s="663">
        <f ca="1">IF(ROWS($1:23)&gt;COUNT(Dong5),"",OFFSET(TH!E$1,SMALL(Dong5,ROWS($1:23)),))</f>
        <v>42626</v>
      </c>
      <c r="D37" s="664" t="str">
        <f ca="1">IF(ROWS($1:23)&gt;COUNT(Dong5),"",OFFSET(TH!F$1,SMALL(Dong5,ROWS($1:23)),))</f>
        <v>Phí rút tiền</v>
      </c>
      <c r="E37" s="663" t="str">
        <f ca="1">IF(ROWS($1:23)&gt;COUNT(Dong5),"",IF(OFFSET(TH!L$1,SMALL(Dong5,ROWS($1:23)),)=$E$7,OFFSET(TH!M$1,SMALL(Dong5,ROWS($1:23)),),OFFSET(TH!L$1,SMALL(Dong5,ROWS($1:23)),)))</f>
        <v>1121</v>
      </c>
      <c r="F37" s="665">
        <f ca="1">IF(ROWS($1:23)&gt;COUNT(Dong5),0,IF(OFFSET(TH!L$1,SMALL(Dong5,ROWS($1:23)),)=$E$7,OFFSET(TH!K$1,SMALL(Dong5,ROWS($1:23)),),0))</f>
        <v>20000</v>
      </c>
      <c r="G37" s="662">
        <f ca="1">IF(ROWS($1:23)&gt;COUNT(Dong5),0,IF(OFFSET(TH!M$1,SMALL(Dong5,ROWS($1:23)),)=$E$7,OFFSET(TH!K$1,SMALL(Dong5,ROWS($1:23)),),0))</f>
        <v>0</v>
      </c>
      <c r="H37" s="666">
        <f t="shared" ca="1" si="4"/>
        <v>0</v>
      </c>
      <c r="I37" s="666">
        <f t="shared" ca="1" si="5"/>
        <v>254339470</v>
      </c>
    </row>
    <row r="38" spans="1:9" ht="18" customHeight="1">
      <c r="A38" s="663">
        <f ca="1">IF(ROWS($1:24)&gt;COUNT(Dong5),"",OFFSET(TH!C$1,SMALL(Dong5,ROWS($1:24)),))</f>
        <v>42628</v>
      </c>
      <c r="B38" s="663" t="str">
        <f ca="1">IF(ROWS($1:24)&gt;COUNT(Dong5),"",OFFSET(TH!D$1,SMALL(Dong5,ROWS($1:24)),))</f>
        <v>GBN</v>
      </c>
      <c r="C38" s="663">
        <f ca="1">IF(ROWS($1:24)&gt;COUNT(Dong5),"",OFFSET(TH!E$1,SMALL(Dong5,ROWS($1:24)),))</f>
        <v>42628</v>
      </c>
      <c r="D38" s="664" t="str">
        <f ca="1">IF(ROWS($1:24)&gt;COUNT(Dong5),"",OFFSET(TH!F$1,SMALL(Dong5,ROWS($1:24)),))</f>
        <v>Phí điều chỉnh chuyển tiền lại</v>
      </c>
      <c r="E38" s="663" t="str">
        <f ca="1">IF(ROWS($1:24)&gt;COUNT(Dong5),"",IF(OFFSET(TH!L$1,SMALL(Dong5,ROWS($1:24)),)=$E$7,OFFSET(TH!M$1,SMALL(Dong5,ROWS($1:24)),),OFFSET(TH!L$1,SMALL(Dong5,ROWS($1:24)),)))</f>
        <v>1121</v>
      </c>
      <c r="F38" s="665">
        <f ca="1">IF(ROWS($1:24)&gt;COUNT(Dong5),0,IF(OFFSET(TH!L$1,SMALL(Dong5,ROWS($1:24)),)=$E$7,OFFSET(TH!K$1,SMALL(Dong5,ROWS($1:24)),),0))</f>
        <v>30000</v>
      </c>
      <c r="G38" s="662">
        <f ca="1">IF(ROWS($1:24)&gt;COUNT(Dong5),0,IF(OFFSET(TH!M$1,SMALL(Dong5,ROWS($1:24)),)=$E$7,OFFSET(TH!K$1,SMALL(Dong5,ROWS($1:24)),),0))</f>
        <v>0</v>
      </c>
      <c r="H38" s="666">
        <f t="shared" ca="1" si="4"/>
        <v>0</v>
      </c>
      <c r="I38" s="666">
        <f t="shared" ca="1" si="5"/>
        <v>254309470</v>
      </c>
    </row>
    <row r="39" spans="1:9" ht="18" customHeight="1">
      <c r="A39" s="663">
        <f ca="1">IF(ROWS($1:25)&gt;COUNT(Dong5),"",OFFSET(TH!C$1,SMALL(Dong5,ROWS($1:25)),))</f>
        <v>42633</v>
      </c>
      <c r="B39" s="663" t="str">
        <f ca="1">IF(ROWS($1:25)&gt;COUNT(Dong5),"",OFFSET(TH!D$1,SMALL(Dong5,ROWS($1:25)),))</f>
        <v>GBN</v>
      </c>
      <c r="C39" s="663">
        <f ca="1">IF(ROWS($1:25)&gt;COUNT(Dong5),"",OFFSET(TH!E$1,SMALL(Dong5,ROWS($1:25)),))</f>
        <v>42633</v>
      </c>
      <c r="D39" s="664" t="str">
        <f ca="1">IF(ROWS($1:25)&gt;COUNT(Dong5),"",OFFSET(TH!F$1,SMALL(Dong5,ROWS($1:25)),))</f>
        <v>Phí chuyển tiền</v>
      </c>
      <c r="E39" s="663" t="str">
        <f ca="1">IF(ROWS($1:25)&gt;COUNT(Dong5),"",IF(OFFSET(TH!L$1,SMALL(Dong5,ROWS($1:25)),)=$E$7,OFFSET(TH!M$1,SMALL(Dong5,ROWS($1:25)),),OFFSET(TH!L$1,SMALL(Dong5,ROWS($1:25)),)))</f>
        <v>1121</v>
      </c>
      <c r="F39" s="665">
        <f ca="1">IF(ROWS($1:25)&gt;COUNT(Dong5),0,IF(OFFSET(TH!L$1,SMALL(Dong5,ROWS($1:25)),)=$E$7,OFFSET(TH!K$1,SMALL(Dong5,ROWS($1:25)),),0))</f>
        <v>20000</v>
      </c>
      <c r="G39" s="662">
        <f ca="1">IF(ROWS($1:25)&gt;COUNT(Dong5),0,IF(OFFSET(TH!M$1,SMALL(Dong5,ROWS($1:25)),)=$E$7,OFFSET(TH!K$1,SMALL(Dong5,ROWS($1:25)),),0))</f>
        <v>0</v>
      </c>
      <c r="H39" s="666">
        <f t="shared" ref="H39:H60" ca="1" si="6">IF(D39&lt;&gt;"",MAX(H38+F39-G39-I38,0),0)</f>
        <v>0</v>
      </c>
      <c r="I39" s="666">
        <f t="shared" ref="I39:I60" ca="1" si="7">IF(D39&lt;&gt;"",MAX(I38+G39-H38-F39,0),0)</f>
        <v>254289470</v>
      </c>
    </row>
    <row r="40" spans="1:9" ht="18" customHeight="1">
      <c r="A40" s="663">
        <f ca="1">IF(ROWS($1:26)&gt;COUNT(Dong5),"",OFFSET(TH!C$1,SMALL(Dong5,ROWS($1:26)),))</f>
        <v>42633</v>
      </c>
      <c r="B40" s="663" t="str">
        <f ca="1">IF(ROWS($1:26)&gt;COUNT(Dong5),"",OFFSET(TH!D$1,SMALL(Dong5,ROWS($1:26)),))</f>
        <v>GBN</v>
      </c>
      <c r="C40" s="663">
        <f ca="1">IF(ROWS($1:26)&gt;COUNT(Dong5),"",OFFSET(TH!E$1,SMALL(Dong5,ROWS($1:26)),))</f>
        <v>42633</v>
      </c>
      <c r="D40" s="664" t="str">
        <f ca="1">IF(ROWS($1:26)&gt;COUNT(Dong5),"",OFFSET(TH!F$1,SMALL(Dong5,ROWS($1:26)),))</f>
        <v>Phí kiểm đếm</v>
      </c>
      <c r="E40" s="663" t="str">
        <f ca="1">IF(ROWS($1:26)&gt;COUNT(Dong5),"",IF(OFFSET(TH!L$1,SMALL(Dong5,ROWS($1:26)),)=$E$7,OFFSET(TH!M$1,SMALL(Dong5,ROWS($1:26)),),OFFSET(TH!L$1,SMALL(Dong5,ROWS($1:26)),)))</f>
        <v>1121</v>
      </c>
      <c r="F40" s="665">
        <f ca="1">IF(ROWS($1:26)&gt;COUNT(Dong5),0,IF(OFFSET(TH!L$1,SMALL(Dong5,ROWS($1:26)),)=$E$7,OFFSET(TH!K$1,SMALL(Dong5,ROWS($1:26)),),0))</f>
        <v>20000</v>
      </c>
      <c r="G40" s="662">
        <f ca="1">IF(ROWS($1:26)&gt;COUNT(Dong5),0,IF(OFFSET(TH!M$1,SMALL(Dong5,ROWS($1:26)),)=$E$7,OFFSET(TH!K$1,SMALL(Dong5,ROWS($1:26)),),0))</f>
        <v>0</v>
      </c>
      <c r="H40" s="666">
        <f t="shared" ca="1" si="6"/>
        <v>0</v>
      </c>
      <c r="I40" s="666">
        <f t="shared" ca="1" si="7"/>
        <v>254269470</v>
      </c>
    </row>
    <row r="41" spans="1:9" ht="18" customHeight="1">
      <c r="A41" s="663">
        <f ca="1">IF(ROWS($1:27)&gt;COUNT(Dong5),"",OFFSET(TH!C$1,SMALL(Dong5,ROWS($1:27)),))</f>
        <v>42635</v>
      </c>
      <c r="B41" s="663" t="str">
        <f ca="1">IF(ROWS($1:27)&gt;COUNT(Dong5),"",OFFSET(TH!D$1,SMALL(Dong5,ROWS($1:27)),))</f>
        <v>GBN</v>
      </c>
      <c r="C41" s="663">
        <f ca="1">IF(ROWS($1:27)&gt;COUNT(Dong5),"",OFFSET(TH!E$1,SMALL(Dong5,ROWS($1:27)),))</f>
        <v>42635</v>
      </c>
      <c r="D41" s="664" t="str">
        <f ca="1">IF(ROWS($1:27)&gt;COUNT(Dong5),"",OFFSET(TH!F$1,SMALL(Dong5,ROWS($1:27)),))</f>
        <v>Phí chuyển tiền</v>
      </c>
      <c r="E41" s="663" t="str">
        <f ca="1">IF(ROWS($1:27)&gt;COUNT(Dong5),"",IF(OFFSET(TH!L$1,SMALL(Dong5,ROWS($1:27)),)=$E$7,OFFSET(TH!M$1,SMALL(Dong5,ROWS($1:27)),),OFFSET(TH!L$1,SMALL(Dong5,ROWS($1:27)),)))</f>
        <v>1121</v>
      </c>
      <c r="F41" s="665">
        <f ca="1">IF(ROWS($1:27)&gt;COUNT(Dong5),0,IF(OFFSET(TH!L$1,SMALL(Dong5,ROWS($1:27)),)=$E$7,OFFSET(TH!K$1,SMALL(Dong5,ROWS($1:27)),),0))</f>
        <v>20000</v>
      </c>
      <c r="G41" s="662">
        <f ca="1">IF(ROWS($1:27)&gt;COUNT(Dong5),0,IF(OFFSET(TH!M$1,SMALL(Dong5,ROWS($1:27)),)=$E$7,OFFSET(TH!K$1,SMALL(Dong5,ROWS($1:27)),),0))</f>
        <v>0</v>
      </c>
      <c r="H41" s="666">
        <f t="shared" ca="1" si="6"/>
        <v>0</v>
      </c>
      <c r="I41" s="666">
        <f t="shared" ca="1" si="7"/>
        <v>254249470</v>
      </c>
    </row>
    <row r="42" spans="1:9" ht="18" customHeight="1">
      <c r="A42" s="663">
        <f ca="1">IF(ROWS($1:28)&gt;COUNT(Dong5),"",OFFSET(TH!C$1,SMALL(Dong5,ROWS($1:28)),))</f>
        <v>42635</v>
      </c>
      <c r="B42" s="663" t="str">
        <f ca="1">IF(ROWS($1:28)&gt;COUNT(Dong5),"",OFFSET(TH!D$1,SMALL(Dong5,ROWS($1:28)),))</f>
        <v>GBN</v>
      </c>
      <c r="C42" s="663">
        <f ca="1">IF(ROWS($1:28)&gt;COUNT(Dong5),"",OFFSET(TH!E$1,SMALL(Dong5,ROWS($1:28)),))</f>
        <v>42635</v>
      </c>
      <c r="D42" s="664" t="str">
        <f ca="1">IF(ROWS($1:28)&gt;COUNT(Dong5),"",OFFSET(TH!F$1,SMALL(Dong5,ROWS($1:28)),))</f>
        <v>Phí kiểm đếm</v>
      </c>
      <c r="E42" s="663" t="str">
        <f ca="1">IF(ROWS($1:28)&gt;COUNT(Dong5),"",IF(OFFSET(TH!L$1,SMALL(Dong5,ROWS($1:28)),)=$E$7,OFFSET(TH!M$1,SMALL(Dong5,ROWS($1:28)),),OFFSET(TH!L$1,SMALL(Dong5,ROWS($1:28)),)))</f>
        <v>1121</v>
      </c>
      <c r="F42" s="665">
        <f ca="1">IF(ROWS($1:28)&gt;COUNT(Dong5),0,IF(OFFSET(TH!L$1,SMALL(Dong5,ROWS($1:28)),)=$E$7,OFFSET(TH!K$1,SMALL(Dong5,ROWS($1:28)),),0))</f>
        <v>20000</v>
      </c>
      <c r="G42" s="662">
        <f ca="1">IF(ROWS($1:28)&gt;COUNT(Dong5),0,IF(OFFSET(TH!M$1,SMALL(Dong5,ROWS($1:28)),)=$E$7,OFFSET(TH!K$1,SMALL(Dong5,ROWS($1:28)),),0))</f>
        <v>0</v>
      </c>
      <c r="H42" s="666">
        <f t="shared" ca="1" si="6"/>
        <v>0</v>
      </c>
      <c r="I42" s="666">
        <f t="shared" ca="1" si="7"/>
        <v>254229470</v>
      </c>
    </row>
    <row r="43" spans="1:9" ht="18" customHeight="1">
      <c r="A43" s="663">
        <f ca="1">IF(ROWS($1:29)&gt;COUNT(Dong5),"",OFFSET(TH!C$1,SMALL(Dong5,ROWS($1:29)),))</f>
        <v>42638</v>
      </c>
      <c r="B43" s="663" t="str">
        <f ca="1">IF(ROWS($1:29)&gt;COUNT(Dong5),"",OFFSET(TH!D$1,SMALL(Dong5,ROWS($1:29)),))</f>
        <v>GBN</v>
      </c>
      <c r="C43" s="663">
        <f ca="1">IF(ROWS($1:29)&gt;COUNT(Dong5),"",OFFSET(TH!E$1,SMALL(Dong5,ROWS($1:29)),))</f>
        <v>42638</v>
      </c>
      <c r="D43" s="664" t="str">
        <f ca="1">IF(ROWS($1:29)&gt;COUNT(Dong5),"",OFFSET(TH!F$1,SMALL(Dong5,ROWS($1:29)),))</f>
        <v>Phí quản lý tài khoản</v>
      </c>
      <c r="E43" s="663" t="str">
        <f ca="1">IF(ROWS($1:29)&gt;COUNT(Dong5),"",IF(OFFSET(TH!L$1,SMALL(Dong5,ROWS($1:29)),)=$E$7,OFFSET(TH!M$1,SMALL(Dong5,ROWS($1:29)),),OFFSET(TH!L$1,SMALL(Dong5,ROWS($1:29)),)))</f>
        <v>1121</v>
      </c>
      <c r="F43" s="665">
        <f ca="1">IF(ROWS($1:29)&gt;COUNT(Dong5),0,IF(OFFSET(TH!L$1,SMALL(Dong5,ROWS($1:29)),)=$E$7,OFFSET(TH!K$1,SMALL(Dong5,ROWS($1:29)),),0))</f>
        <v>10000</v>
      </c>
      <c r="G43" s="662">
        <f ca="1">IF(ROWS($1:29)&gt;COUNT(Dong5),0,IF(OFFSET(TH!M$1,SMALL(Dong5,ROWS($1:29)),)=$E$7,OFFSET(TH!K$1,SMALL(Dong5,ROWS($1:29)),),0))</f>
        <v>0</v>
      </c>
      <c r="H43" s="666">
        <f t="shared" ca="1" si="6"/>
        <v>0</v>
      </c>
      <c r="I43" s="666">
        <f t="shared" ca="1" si="7"/>
        <v>254219470</v>
      </c>
    </row>
    <row r="44" spans="1:9" ht="18" customHeight="1">
      <c r="A44" s="663">
        <f ca="1">IF(ROWS($1:30)&gt;COUNT(Dong5),"",OFFSET(TH!C$1,SMALL(Dong5,ROWS($1:30)),))</f>
        <v>42643</v>
      </c>
      <c r="B44" s="663" t="str">
        <f ca="1">IF(ROWS($1:30)&gt;COUNT(Dong5),"",OFFSET(TH!D$1,SMALL(Dong5,ROWS($1:30)),))</f>
        <v>CTGS</v>
      </c>
      <c r="C44" s="663">
        <f ca="1">IF(ROWS($1:30)&gt;COUNT(Dong5),"",OFFSET(TH!E$1,SMALL(Dong5,ROWS($1:30)),))</f>
        <v>42643</v>
      </c>
      <c r="D44" s="664" t="str">
        <f ca="1">IF(ROWS($1:30)&gt;COUNT(Dong5),"",OFFSET(TH!F$1,SMALL(Dong5,ROWS($1:30)),))</f>
        <v>Tiền lương BP Văn phòng</v>
      </c>
      <c r="E44" s="663" t="str">
        <f ca="1">IF(ROWS($1:30)&gt;COUNT(Dong5),"",IF(OFFSET(TH!L$1,SMALL(Dong5,ROWS($1:30)),)=$E$7,OFFSET(TH!M$1,SMALL(Dong5,ROWS($1:30)),),OFFSET(TH!L$1,SMALL(Dong5,ROWS($1:30)),)))</f>
        <v>3341</v>
      </c>
      <c r="F44" s="665">
        <f ca="1">IF(ROWS($1:30)&gt;COUNT(Dong5),0,IF(OFFSET(TH!L$1,SMALL(Dong5,ROWS($1:30)),)=$E$7,OFFSET(TH!K$1,SMALL(Dong5,ROWS($1:30)),),0))</f>
        <v>4375000</v>
      </c>
      <c r="G44" s="662">
        <f ca="1">IF(ROWS($1:30)&gt;COUNT(Dong5),0,IF(OFFSET(TH!M$1,SMALL(Dong5,ROWS($1:30)),)=$E$7,OFFSET(TH!K$1,SMALL(Dong5,ROWS($1:30)),),0))</f>
        <v>0</v>
      </c>
      <c r="H44" s="666">
        <f t="shared" ca="1" si="6"/>
        <v>0</v>
      </c>
      <c r="I44" s="666">
        <f t="shared" ca="1" si="7"/>
        <v>249844470</v>
      </c>
    </row>
    <row r="45" spans="1:9" ht="18" customHeight="1">
      <c r="A45" s="663">
        <f ca="1">IF(ROWS($1:31)&gt;COUNT(Dong5),"",OFFSET(TH!C$1,SMALL(Dong5,ROWS($1:31)),))</f>
        <v>42643</v>
      </c>
      <c r="B45" s="663" t="str">
        <f ca="1">IF(ROWS($1:31)&gt;COUNT(Dong5),"",OFFSET(TH!D$1,SMALL(Dong5,ROWS($1:31)),))</f>
        <v>CTGS</v>
      </c>
      <c r="C45" s="663">
        <f ca="1">IF(ROWS($1:31)&gt;COUNT(Dong5),"",OFFSET(TH!E$1,SMALL(Dong5,ROWS($1:31)),))</f>
        <v>42576</v>
      </c>
      <c r="D45" s="664" t="str">
        <f ca="1">IF(ROWS($1:31)&gt;COUNT(Dong5),"",OFFSET(TH!F$1,SMALL(Dong5,ROWS($1:31)),))</f>
        <v>Tiền thuê xưởng T07/2016</v>
      </c>
      <c r="E45" s="663" t="str">
        <f ca="1">IF(ROWS($1:31)&gt;COUNT(Dong5),"",IF(OFFSET(TH!L$1,SMALL(Dong5,ROWS($1:31)),)=$E$7,OFFSET(TH!M$1,SMALL(Dong5,ROWS($1:31)),),OFFSET(TH!L$1,SMALL(Dong5,ROWS($1:31)),)))</f>
        <v>331</v>
      </c>
      <c r="F45" s="665">
        <f ca="1">IF(ROWS($1:31)&gt;COUNT(Dong5),0,IF(OFFSET(TH!L$1,SMALL(Dong5,ROWS($1:31)),)=$E$7,OFFSET(TH!K$1,SMALL(Dong5,ROWS($1:31)),),0))</f>
        <v>37000000</v>
      </c>
      <c r="G45" s="662">
        <f ca="1">IF(ROWS($1:31)&gt;COUNT(Dong5),0,IF(OFFSET(TH!M$1,SMALL(Dong5,ROWS($1:31)),)=$E$7,OFFSET(TH!K$1,SMALL(Dong5,ROWS($1:31)),),0))</f>
        <v>0</v>
      </c>
      <c r="H45" s="666">
        <f t="shared" ca="1" si="6"/>
        <v>0</v>
      </c>
      <c r="I45" s="666">
        <f t="shared" ca="1" si="7"/>
        <v>212844470</v>
      </c>
    </row>
    <row r="46" spans="1:9" ht="18" customHeight="1">
      <c r="A46" s="663">
        <f ca="1">IF(ROWS($1:32)&gt;COUNT(Dong5),"",OFFSET(TH!C$1,SMALL(Dong5,ROWS($1:32)),))</f>
        <v>42643</v>
      </c>
      <c r="B46" s="663" t="str">
        <f ca="1">IF(ROWS($1:32)&gt;COUNT(Dong5),"",OFFSET(TH!D$1,SMALL(Dong5,ROWS($1:32)),))</f>
        <v>CTGS</v>
      </c>
      <c r="C46" s="663">
        <f ca="1">IF(ROWS($1:32)&gt;COUNT(Dong5),"",OFFSET(TH!E$1,SMALL(Dong5,ROWS($1:32)),))</f>
        <v>42602</v>
      </c>
      <c r="D46" s="664" t="str">
        <f ca="1">IF(ROWS($1:32)&gt;COUNT(Dong5),"",OFFSET(TH!F$1,SMALL(Dong5,ROWS($1:32)),))</f>
        <v>Tiền thuê xưởng T08/2016</v>
      </c>
      <c r="E46" s="663" t="str">
        <f ca="1">IF(ROWS($1:32)&gt;COUNT(Dong5),"",IF(OFFSET(TH!L$1,SMALL(Dong5,ROWS($1:32)),)=$E$7,OFFSET(TH!M$1,SMALL(Dong5,ROWS($1:32)),),OFFSET(TH!L$1,SMALL(Dong5,ROWS($1:32)),)))</f>
        <v>331</v>
      </c>
      <c r="F46" s="665">
        <f ca="1">IF(ROWS($1:32)&gt;COUNT(Dong5),0,IF(OFFSET(TH!L$1,SMALL(Dong5,ROWS($1:32)),)=$E$7,OFFSET(TH!K$1,SMALL(Dong5,ROWS($1:32)),),0))</f>
        <v>37000000</v>
      </c>
      <c r="G46" s="662">
        <f ca="1">IF(ROWS($1:32)&gt;COUNT(Dong5),0,IF(OFFSET(TH!M$1,SMALL(Dong5,ROWS($1:32)),)=$E$7,OFFSET(TH!K$1,SMALL(Dong5,ROWS($1:32)),),0))</f>
        <v>0</v>
      </c>
      <c r="H46" s="666">
        <f t="shared" ca="1" si="6"/>
        <v>0</v>
      </c>
      <c r="I46" s="666">
        <f t="shared" ca="1" si="7"/>
        <v>175844470</v>
      </c>
    </row>
    <row r="47" spans="1:9" ht="18" customHeight="1">
      <c r="A47" s="663">
        <f ca="1">IF(ROWS($1:33)&gt;COUNT(Dong5),"",OFFSET(TH!C$1,SMALL(Dong5,ROWS($1:33)),))</f>
        <v>42643</v>
      </c>
      <c r="B47" s="663" t="str">
        <f ca="1">IF(ROWS($1:33)&gt;COUNT(Dong5),"",OFFSET(TH!D$1,SMALL(Dong5,ROWS($1:33)),))</f>
        <v>CTGS</v>
      </c>
      <c r="C47" s="663">
        <f ca="1">IF(ROWS($1:33)&gt;COUNT(Dong5),"",OFFSET(TH!E$1,SMALL(Dong5,ROWS($1:33)),))</f>
        <v>42638</v>
      </c>
      <c r="D47" s="664" t="str">
        <f ca="1">IF(ROWS($1:33)&gt;COUNT(Dong5),"",OFFSET(TH!F$1,SMALL(Dong5,ROWS($1:33)),))</f>
        <v>Tiền thuê xưởng T09/2016</v>
      </c>
      <c r="E47" s="663" t="str">
        <f ca="1">IF(ROWS($1:33)&gt;COUNT(Dong5),"",IF(OFFSET(TH!L$1,SMALL(Dong5,ROWS($1:33)),)=$E$7,OFFSET(TH!M$1,SMALL(Dong5,ROWS($1:33)),),OFFSET(TH!L$1,SMALL(Dong5,ROWS($1:33)),)))</f>
        <v>331</v>
      </c>
      <c r="F47" s="665">
        <f ca="1">IF(ROWS($1:33)&gt;COUNT(Dong5),0,IF(OFFSET(TH!L$1,SMALL(Dong5,ROWS($1:33)),)=$E$7,OFFSET(TH!K$1,SMALL(Dong5,ROWS($1:33)),),0))</f>
        <v>37000000</v>
      </c>
      <c r="G47" s="662">
        <f ca="1">IF(ROWS($1:33)&gt;COUNT(Dong5),0,IF(OFFSET(TH!M$1,SMALL(Dong5,ROWS($1:33)),)=$E$7,OFFSET(TH!K$1,SMALL(Dong5,ROWS($1:33)),),0))</f>
        <v>0</v>
      </c>
      <c r="H47" s="666">
        <f t="shared" ca="1" si="6"/>
        <v>0</v>
      </c>
      <c r="I47" s="666">
        <f t="shared" ca="1" si="7"/>
        <v>138844470</v>
      </c>
    </row>
    <row r="48" spans="1:9" ht="18" customHeight="1">
      <c r="A48" s="663">
        <f ca="1">IF(ROWS($1:34)&gt;COUNT(Dong5),"",OFFSET(TH!C$1,SMALL(Dong5,ROWS($1:34)),))</f>
        <v>42644</v>
      </c>
      <c r="B48" s="663" t="str">
        <f ca="1">IF(ROWS($1:34)&gt;COUNT(Dong5),"",OFFSET(TH!D$1,SMALL(Dong5,ROWS($1:34)),))</f>
        <v>C02</v>
      </c>
      <c r="C48" s="663">
        <f ca="1">IF(ROWS($1:34)&gt;COUNT(Dong5),"",OFFSET(TH!E$1,SMALL(Dong5,ROWS($1:34)),))</f>
        <v>42644</v>
      </c>
      <c r="D48" s="664" t="str">
        <f ca="1">IF(ROWS($1:34)&gt;COUNT(Dong5),"",OFFSET(TH!F$1,SMALL(Dong5,ROWS($1:34)),))</f>
        <v>Vật dụng sửa xe</v>
      </c>
      <c r="E48" s="663" t="str">
        <f ca="1">IF(ROWS($1:34)&gt;COUNT(Dong5),"",IF(OFFSET(TH!L$1,SMALL(Dong5,ROWS($1:34)),)=$E$7,OFFSET(TH!M$1,SMALL(Dong5,ROWS($1:34)),),OFFSET(TH!L$1,SMALL(Dong5,ROWS($1:34)),)))</f>
        <v>1111</v>
      </c>
      <c r="F48" s="665">
        <f ca="1">IF(ROWS($1:34)&gt;COUNT(Dong5),0,IF(OFFSET(TH!L$1,SMALL(Dong5,ROWS($1:34)),)=$E$7,OFFSET(TH!K$1,SMALL(Dong5,ROWS($1:34)),),0))</f>
        <v>3910000</v>
      </c>
      <c r="G48" s="662">
        <f ca="1">IF(ROWS($1:34)&gt;COUNT(Dong5),0,IF(OFFSET(TH!M$1,SMALL(Dong5,ROWS($1:34)),)=$E$7,OFFSET(TH!K$1,SMALL(Dong5,ROWS($1:34)),),0))</f>
        <v>0</v>
      </c>
      <c r="H48" s="666">
        <f t="shared" ca="1" si="6"/>
        <v>0</v>
      </c>
      <c r="I48" s="666">
        <f t="shared" ca="1" si="7"/>
        <v>134934470</v>
      </c>
    </row>
    <row r="49" spans="1:9" ht="18" customHeight="1">
      <c r="A49" s="663">
        <f ca="1">IF(ROWS($1:35)&gt;COUNT(Dong5),"",OFFSET(TH!C$1,SMALL(Dong5,ROWS($1:35)),))</f>
        <v>42647</v>
      </c>
      <c r="B49" s="663" t="str">
        <f ca="1">IF(ROWS($1:35)&gt;COUNT(Dong5),"",OFFSET(TH!D$1,SMALL(Dong5,ROWS($1:35)),))</f>
        <v>GBN</v>
      </c>
      <c r="C49" s="663">
        <f ca="1">IF(ROWS($1:35)&gt;COUNT(Dong5),"",OFFSET(TH!E$1,SMALL(Dong5,ROWS($1:35)),))</f>
        <v>42647</v>
      </c>
      <c r="D49" s="664" t="str">
        <f ca="1">IF(ROWS($1:35)&gt;COUNT(Dong5),"",OFFSET(TH!F$1,SMALL(Dong5,ROWS($1:35)),))</f>
        <v>Phí chuyển tiền</v>
      </c>
      <c r="E49" s="663" t="str">
        <f ca="1">IF(ROWS($1:35)&gt;COUNT(Dong5),"",IF(OFFSET(TH!L$1,SMALL(Dong5,ROWS($1:35)),)=$E$7,OFFSET(TH!M$1,SMALL(Dong5,ROWS($1:35)),),OFFSET(TH!L$1,SMALL(Dong5,ROWS($1:35)),)))</f>
        <v>1121</v>
      </c>
      <c r="F49" s="665">
        <f ca="1">IF(ROWS($1:35)&gt;COUNT(Dong5),0,IF(OFFSET(TH!L$1,SMALL(Dong5,ROWS($1:35)),)=$E$7,OFFSET(TH!K$1,SMALL(Dong5,ROWS($1:35)),),0))</f>
        <v>10000</v>
      </c>
      <c r="G49" s="662">
        <f ca="1">IF(ROWS($1:35)&gt;COUNT(Dong5),0,IF(OFFSET(TH!M$1,SMALL(Dong5,ROWS($1:35)),)=$E$7,OFFSET(TH!K$1,SMALL(Dong5,ROWS($1:35)),),0))</f>
        <v>0</v>
      </c>
      <c r="H49" s="666">
        <f t="shared" ca="1" si="6"/>
        <v>0</v>
      </c>
      <c r="I49" s="666">
        <f t="shared" ca="1" si="7"/>
        <v>134924470</v>
      </c>
    </row>
    <row r="50" spans="1:9" ht="18" customHeight="1">
      <c r="A50" s="663">
        <f ca="1">IF(ROWS($1:36)&gt;COUNT(Dong5),"",OFFSET(TH!C$1,SMALL(Dong5,ROWS($1:36)),))</f>
        <v>42658</v>
      </c>
      <c r="B50" s="663" t="str">
        <f ca="1">IF(ROWS($1:36)&gt;COUNT(Dong5),"",OFFSET(TH!D$1,SMALL(Dong5,ROWS($1:36)),))</f>
        <v>CTGS</v>
      </c>
      <c r="C50" s="663">
        <f ca="1">IF(ROWS($1:36)&gt;COUNT(Dong5),"",OFFSET(TH!E$1,SMALL(Dong5,ROWS($1:36)),))</f>
        <v>42658</v>
      </c>
      <c r="D50" s="664" t="str">
        <f ca="1">IF(ROWS($1:36)&gt;COUNT(Dong5),"",OFFSET(TH!F$1,SMALL(Dong5,ROWS($1:36)),))</f>
        <v>Tiền thuê xưởng T10/2016</v>
      </c>
      <c r="E50" s="663" t="str">
        <f ca="1">IF(ROWS($1:36)&gt;COUNT(Dong5),"",IF(OFFSET(TH!L$1,SMALL(Dong5,ROWS($1:36)),)=$E$7,OFFSET(TH!M$1,SMALL(Dong5,ROWS($1:36)),),OFFSET(TH!L$1,SMALL(Dong5,ROWS($1:36)),)))</f>
        <v>331</v>
      </c>
      <c r="F50" s="665">
        <f ca="1">IF(ROWS($1:36)&gt;COUNT(Dong5),0,IF(OFFSET(TH!L$1,SMALL(Dong5,ROWS($1:36)),)=$E$7,OFFSET(TH!K$1,SMALL(Dong5,ROWS($1:36)),),0))</f>
        <v>37000000</v>
      </c>
      <c r="G50" s="662">
        <f ca="1">IF(ROWS($1:36)&gt;COUNT(Dong5),0,IF(OFFSET(TH!M$1,SMALL(Dong5,ROWS($1:36)),)=$E$7,OFFSET(TH!K$1,SMALL(Dong5,ROWS($1:36)),),0))</f>
        <v>0</v>
      </c>
      <c r="H50" s="666">
        <f t="shared" ca="1" si="6"/>
        <v>0</v>
      </c>
      <c r="I50" s="666">
        <f t="shared" ca="1" si="7"/>
        <v>97924470</v>
      </c>
    </row>
    <row r="51" spans="1:9" ht="18" customHeight="1">
      <c r="A51" s="663">
        <f ca="1">IF(ROWS($1:37)&gt;COUNT(Dong5),"",OFFSET(TH!C$1,SMALL(Dong5,ROWS($1:37)),))</f>
        <v>42663</v>
      </c>
      <c r="B51" s="663" t="str">
        <f ca="1">IF(ROWS($1:37)&gt;COUNT(Dong5),"",OFFSET(TH!D$1,SMALL(Dong5,ROWS($1:37)),))</f>
        <v>C07</v>
      </c>
      <c r="C51" s="663">
        <f ca="1">IF(ROWS($1:37)&gt;COUNT(Dong5),"",OFFSET(TH!E$1,SMALL(Dong5,ROWS($1:37)),))</f>
        <v>42663</v>
      </c>
      <c r="D51" s="664" t="str">
        <f ca="1">IF(ROWS($1:37)&gt;COUNT(Dong5),"",OFFSET(TH!F$1,SMALL(Dong5,ROWS($1:37)),))</f>
        <v>Văn phòng phẩm</v>
      </c>
      <c r="E51" s="663" t="str">
        <f ca="1">IF(ROWS($1:37)&gt;COUNT(Dong5),"",IF(OFFSET(TH!L$1,SMALL(Dong5,ROWS($1:37)),)=$E$7,OFFSET(TH!M$1,SMALL(Dong5,ROWS($1:37)),),OFFSET(TH!L$1,SMALL(Dong5,ROWS($1:37)),)))</f>
        <v>1111</v>
      </c>
      <c r="F51" s="665">
        <f ca="1">IF(ROWS($1:37)&gt;COUNT(Dong5),0,IF(OFFSET(TH!L$1,SMALL(Dong5,ROWS($1:37)),)=$E$7,OFFSET(TH!K$1,SMALL(Dong5,ROWS($1:37)),),0))</f>
        <v>934000</v>
      </c>
      <c r="G51" s="662">
        <f ca="1">IF(ROWS($1:37)&gt;COUNT(Dong5),0,IF(OFFSET(TH!M$1,SMALL(Dong5,ROWS($1:37)),)=$E$7,OFFSET(TH!K$1,SMALL(Dong5,ROWS($1:37)),),0))</f>
        <v>0</v>
      </c>
      <c r="H51" s="666">
        <f t="shared" ca="1" si="6"/>
        <v>0</v>
      </c>
      <c r="I51" s="666">
        <f t="shared" ca="1" si="7"/>
        <v>96990470</v>
      </c>
    </row>
    <row r="52" spans="1:9" ht="18" customHeight="1">
      <c r="A52" s="663">
        <f ca="1">IF(ROWS($1:38)&gt;COUNT(Dong5),"",OFFSET(TH!C$1,SMALL(Dong5,ROWS($1:38)),))</f>
        <v>42668</v>
      </c>
      <c r="B52" s="663" t="str">
        <f ca="1">IF(ROWS($1:38)&gt;COUNT(Dong5),"",OFFSET(TH!D$1,SMALL(Dong5,ROWS($1:38)),))</f>
        <v>GBN</v>
      </c>
      <c r="C52" s="663">
        <f ca="1">IF(ROWS($1:38)&gt;COUNT(Dong5),"",OFFSET(TH!E$1,SMALL(Dong5,ROWS($1:38)),))</f>
        <v>42668</v>
      </c>
      <c r="D52" s="664" t="str">
        <f ca="1">IF(ROWS($1:38)&gt;COUNT(Dong5),"",OFFSET(TH!F$1,SMALL(Dong5,ROWS($1:38)),))</f>
        <v>Phí quản lý tài khoản</v>
      </c>
      <c r="E52" s="663" t="str">
        <f ca="1">IF(ROWS($1:38)&gt;COUNT(Dong5),"",IF(OFFSET(TH!L$1,SMALL(Dong5,ROWS($1:38)),)=$E$7,OFFSET(TH!M$1,SMALL(Dong5,ROWS($1:38)),),OFFSET(TH!L$1,SMALL(Dong5,ROWS($1:38)),)))</f>
        <v>1121</v>
      </c>
      <c r="F52" s="665">
        <f ca="1">IF(ROWS($1:38)&gt;COUNT(Dong5),0,IF(OFFSET(TH!L$1,SMALL(Dong5,ROWS($1:38)),)=$E$7,OFFSET(TH!K$1,SMALL(Dong5,ROWS($1:38)),),0))</f>
        <v>10000</v>
      </c>
      <c r="G52" s="662">
        <f ca="1">IF(ROWS($1:38)&gt;COUNT(Dong5),0,IF(OFFSET(TH!M$1,SMALL(Dong5,ROWS($1:38)),)=$E$7,OFFSET(TH!K$1,SMALL(Dong5,ROWS($1:38)),),0))</f>
        <v>0</v>
      </c>
      <c r="H52" s="666">
        <f t="shared" ca="1" si="6"/>
        <v>0</v>
      </c>
      <c r="I52" s="666">
        <f t="shared" ca="1" si="7"/>
        <v>96980470</v>
      </c>
    </row>
    <row r="53" spans="1:9" ht="18" customHeight="1">
      <c r="A53" s="663">
        <f ca="1">IF(ROWS($1:39)&gt;COUNT(Dong5),"",OFFSET(TH!C$1,SMALL(Dong5,ROWS($1:39)),))</f>
        <v>42674</v>
      </c>
      <c r="B53" s="663" t="str">
        <f ca="1">IF(ROWS($1:39)&gt;COUNT(Dong5),"",OFFSET(TH!D$1,SMALL(Dong5,ROWS($1:39)),))</f>
        <v>CTGS</v>
      </c>
      <c r="C53" s="663">
        <f ca="1">IF(ROWS($1:39)&gt;COUNT(Dong5),"",OFFSET(TH!E$1,SMALL(Dong5,ROWS($1:39)),))</f>
        <v>42674</v>
      </c>
      <c r="D53" s="664" t="str">
        <f ca="1">IF(ROWS($1:39)&gt;COUNT(Dong5),"",OFFSET(TH!F$1,SMALL(Dong5,ROWS($1:39)),))</f>
        <v>Tiền lương BP Văn phòng</v>
      </c>
      <c r="E53" s="663" t="str">
        <f ca="1">IF(ROWS($1:39)&gt;COUNT(Dong5),"",IF(OFFSET(TH!L$1,SMALL(Dong5,ROWS($1:39)),)=$E$7,OFFSET(TH!M$1,SMALL(Dong5,ROWS($1:39)),),OFFSET(TH!L$1,SMALL(Dong5,ROWS($1:39)),)))</f>
        <v>3341</v>
      </c>
      <c r="F53" s="665">
        <f ca="1">IF(ROWS($1:39)&gt;COUNT(Dong5),0,IF(OFFSET(TH!L$1,SMALL(Dong5,ROWS($1:39)),)=$E$7,OFFSET(TH!K$1,SMALL(Dong5,ROWS($1:39)),),0))</f>
        <v>4390000</v>
      </c>
      <c r="G53" s="662">
        <f ca="1">IF(ROWS($1:39)&gt;COUNT(Dong5),0,IF(OFFSET(TH!M$1,SMALL(Dong5,ROWS($1:39)),)=$E$7,OFFSET(TH!K$1,SMALL(Dong5,ROWS($1:39)),),0))</f>
        <v>0</v>
      </c>
      <c r="H53" s="666">
        <f t="shared" ca="1" si="6"/>
        <v>0</v>
      </c>
      <c r="I53" s="666">
        <f t="shared" ca="1" si="7"/>
        <v>92590470</v>
      </c>
    </row>
    <row r="54" spans="1:9" ht="18" customHeight="1">
      <c r="A54" s="663">
        <f ca="1">IF(ROWS($1:40)&gt;COUNT(Dong5),"",OFFSET(TH!C$1,SMALL(Dong5,ROWS($1:40)),))</f>
        <v>42678</v>
      </c>
      <c r="B54" s="663" t="str">
        <f ca="1">IF(ROWS($1:40)&gt;COUNT(Dong5),"",OFFSET(TH!D$1,SMALL(Dong5,ROWS($1:40)),))</f>
        <v>GBN</v>
      </c>
      <c r="C54" s="663">
        <f ca="1">IF(ROWS($1:40)&gt;COUNT(Dong5),"",OFFSET(TH!E$1,SMALL(Dong5,ROWS($1:40)),))</f>
        <v>42678</v>
      </c>
      <c r="D54" s="664" t="str">
        <f ca="1">IF(ROWS($1:40)&gt;COUNT(Dong5),"",OFFSET(TH!F$1,SMALL(Dong5,ROWS($1:40)),))</f>
        <v>Phí chuyển tiền</v>
      </c>
      <c r="E54" s="663" t="str">
        <f ca="1">IF(ROWS($1:40)&gt;COUNT(Dong5),"",IF(OFFSET(TH!L$1,SMALL(Dong5,ROWS($1:40)),)=$E$7,OFFSET(TH!M$1,SMALL(Dong5,ROWS($1:40)),),OFFSET(TH!L$1,SMALL(Dong5,ROWS($1:40)),)))</f>
        <v>1121</v>
      </c>
      <c r="F54" s="665">
        <f ca="1">IF(ROWS($1:40)&gt;COUNT(Dong5),0,IF(OFFSET(TH!L$1,SMALL(Dong5,ROWS($1:40)),)=$E$7,OFFSET(TH!K$1,SMALL(Dong5,ROWS($1:40)),),0))</f>
        <v>20000</v>
      </c>
      <c r="G54" s="662">
        <f ca="1">IF(ROWS($1:40)&gt;COUNT(Dong5),0,IF(OFFSET(TH!M$1,SMALL(Dong5,ROWS($1:40)),)=$E$7,OFFSET(TH!K$1,SMALL(Dong5,ROWS($1:40)),),0))</f>
        <v>0</v>
      </c>
      <c r="H54" s="666">
        <f t="shared" ca="1" si="6"/>
        <v>0</v>
      </c>
      <c r="I54" s="666">
        <f t="shared" ca="1" si="7"/>
        <v>92570470</v>
      </c>
    </row>
    <row r="55" spans="1:9" ht="18" customHeight="1">
      <c r="A55" s="663">
        <f ca="1">IF(ROWS($1:41)&gt;COUNT(Dong5),"",OFFSET(TH!C$1,SMALL(Dong5,ROWS($1:41)),))</f>
        <v>42679</v>
      </c>
      <c r="B55" s="663" t="str">
        <f ca="1">IF(ROWS($1:41)&gt;COUNT(Dong5),"",OFFSET(TH!D$1,SMALL(Dong5,ROWS($1:41)),))</f>
        <v>C13</v>
      </c>
      <c r="C55" s="663">
        <f ca="1">IF(ROWS($1:41)&gt;COUNT(Dong5),"",OFFSET(TH!E$1,SMALL(Dong5,ROWS($1:41)),))</f>
        <v>42679</v>
      </c>
      <c r="D55" s="664" t="str">
        <f ca="1">IF(ROWS($1:41)&gt;COUNT(Dong5),"",OFFSET(TH!F$1,SMALL(Dong5,ROWS($1:41)),))</f>
        <v>Vật dụng sửa xe</v>
      </c>
      <c r="E55" s="663" t="str">
        <f ca="1">IF(ROWS($1:41)&gt;COUNT(Dong5),"",IF(OFFSET(TH!L$1,SMALL(Dong5,ROWS($1:41)),)=$E$7,OFFSET(TH!M$1,SMALL(Dong5,ROWS($1:41)),),OFFSET(TH!L$1,SMALL(Dong5,ROWS($1:41)),)))</f>
        <v>1111</v>
      </c>
      <c r="F55" s="665">
        <f ca="1">IF(ROWS($1:41)&gt;COUNT(Dong5),0,IF(OFFSET(TH!L$1,SMALL(Dong5,ROWS($1:41)),)=$E$7,OFFSET(TH!K$1,SMALL(Dong5,ROWS($1:41)),),0))</f>
        <v>3910000</v>
      </c>
      <c r="G55" s="662">
        <f ca="1">IF(ROWS($1:41)&gt;COUNT(Dong5),0,IF(OFFSET(TH!M$1,SMALL(Dong5,ROWS($1:41)),)=$E$7,OFFSET(TH!K$1,SMALL(Dong5,ROWS($1:41)),),0))</f>
        <v>0</v>
      </c>
      <c r="H55" s="666">
        <f t="shared" ca="1" si="6"/>
        <v>0</v>
      </c>
      <c r="I55" s="666">
        <f t="shared" ca="1" si="7"/>
        <v>88660470</v>
      </c>
    </row>
    <row r="56" spans="1:9" ht="18" customHeight="1">
      <c r="A56" s="663">
        <f ca="1">IF(ROWS($1:42)&gt;COUNT(Dong5),"",OFFSET(TH!C$1,SMALL(Dong5,ROWS($1:42)),))</f>
        <v>42683</v>
      </c>
      <c r="B56" s="663" t="str">
        <f ca="1">IF(ROWS($1:42)&gt;COUNT(Dong5),"",OFFSET(TH!D$1,SMALL(Dong5,ROWS($1:42)),))</f>
        <v>C14</v>
      </c>
      <c r="C56" s="663">
        <f ca="1">IF(ROWS($1:42)&gt;COUNT(Dong5),"",OFFSET(TH!E$1,SMALL(Dong5,ROWS($1:42)),))</f>
        <v>42683</v>
      </c>
      <c r="D56" s="664" t="str">
        <f ca="1">IF(ROWS($1:42)&gt;COUNT(Dong5),"",OFFSET(TH!F$1,SMALL(Dong5,ROWS($1:42)),))</f>
        <v>Xe nâng tay</v>
      </c>
      <c r="E56" s="663" t="str">
        <f ca="1">IF(ROWS($1:42)&gt;COUNT(Dong5),"",IF(OFFSET(TH!L$1,SMALL(Dong5,ROWS($1:42)),)=$E$7,OFFSET(TH!M$1,SMALL(Dong5,ROWS($1:42)),),OFFSET(TH!L$1,SMALL(Dong5,ROWS($1:42)),)))</f>
        <v>1111</v>
      </c>
      <c r="F56" s="665">
        <f ca="1">IF(ROWS($1:42)&gt;COUNT(Dong5),0,IF(OFFSET(TH!L$1,SMALL(Dong5,ROWS($1:42)),)=$E$7,OFFSET(TH!K$1,SMALL(Dong5,ROWS($1:42)),),0))</f>
        <v>3150000</v>
      </c>
      <c r="G56" s="662">
        <f ca="1">IF(ROWS($1:42)&gt;COUNT(Dong5),0,IF(OFFSET(TH!M$1,SMALL(Dong5,ROWS($1:42)),)=$E$7,OFFSET(TH!K$1,SMALL(Dong5,ROWS($1:42)),),0))</f>
        <v>0</v>
      </c>
      <c r="H56" s="666">
        <f t="shared" ca="1" si="6"/>
        <v>0</v>
      </c>
      <c r="I56" s="666">
        <f t="shared" ca="1" si="7"/>
        <v>85510470</v>
      </c>
    </row>
    <row r="57" spans="1:9" ht="18" customHeight="1">
      <c r="A57" s="663">
        <f ca="1">IF(ROWS($1:43)&gt;COUNT(Dong5),"",OFFSET(TH!C$1,SMALL(Dong5,ROWS($1:43)),))</f>
        <v>42685</v>
      </c>
      <c r="B57" s="663" t="str">
        <f ca="1">IF(ROWS($1:43)&gt;COUNT(Dong5),"",OFFSET(TH!D$1,SMALL(Dong5,ROWS($1:43)),))</f>
        <v>GBN</v>
      </c>
      <c r="C57" s="663">
        <f ca="1">IF(ROWS($1:43)&gt;COUNT(Dong5),"",OFFSET(TH!E$1,SMALL(Dong5,ROWS($1:43)),))</f>
        <v>42685</v>
      </c>
      <c r="D57" s="664" t="str">
        <f ca="1">IF(ROWS($1:43)&gt;COUNT(Dong5),"",OFFSET(TH!F$1,SMALL(Dong5,ROWS($1:43)),))</f>
        <v>Phí chuyển tiền</v>
      </c>
      <c r="E57" s="663" t="str">
        <f ca="1">IF(ROWS($1:43)&gt;COUNT(Dong5),"",IF(OFFSET(TH!L$1,SMALL(Dong5,ROWS($1:43)),)=$E$7,OFFSET(TH!M$1,SMALL(Dong5,ROWS($1:43)),),OFFSET(TH!L$1,SMALL(Dong5,ROWS($1:43)),)))</f>
        <v>1121</v>
      </c>
      <c r="F57" s="665">
        <f ca="1">IF(ROWS($1:43)&gt;COUNT(Dong5),0,IF(OFFSET(TH!L$1,SMALL(Dong5,ROWS($1:43)),)=$E$7,OFFSET(TH!K$1,SMALL(Dong5,ROWS($1:43)),),0))</f>
        <v>20000</v>
      </c>
      <c r="G57" s="662">
        <f ca="1">IF(ROWS($1:43)&gt;COUNT(Dong5),0,IF(OFFSET(TH!M$1,SMALL(Dong5,ROWS($1:43)),)=$E$7,OFFSET(TH!K$1,SMALL(Dong5,ROWS($1:43)),),0))</f>
        <v>0</v>
      </c>
      <c r="H57" s="666">
        <f t="shared" ca="1" si="6"/>
        <v>0</v>
      </c>
      <c r="I57" s="666">
        <f t="shared" ca="1" si="7"/>
        <v>85490470</v>
      </c>
    </row>
    <row r="58" spans="1:9" ht="18" customHeight="1">
      <c r="A58" s="663">
        <f ca="1">IF(ROWS($1:44)&gt;COUNT(Dong5),"",OFFSET(TH!C$1,SMALL(Dong5,ROWS($1:44)),))</f>
        <v>42688</v>
      </c>
      <c r="B58" s="663" t="str">
        <f ca="1">IF(ROWS($1:44)&gt;COUNT(Dong5),"",OFFSET(TH!D$1,SMALL(Dong5,ROWS($1:44)),))</f>
        <v>GBN</v>
      </c>
      <c r="C58" s="663">
        <f ca="1">IF(ROWS($1:44)&gt;COUNT(Dong5),"",OFFSET(TH!E$1,SMALL(Dong5,ROWS($1:44)),))</f>
        <v>42688</v>
      </c>
      <c r="D58" s="664" t="str">
        <f ca="1">IF(ROWS($1:44)&gt;COUNT(Dong5),"",OFFSET(TH!F$1,SMALL(Dong5,ROWS($1:44)),))</f>
        <v>Phí nộp tiền chuyển trong ngày</v>
      </c>
      <c r="E58" s="663" t="str">
        <f ca="1">IF(ROWS($1:44)&gt;COUNT(Dong5),"",IF(OFFSET(TH!L$1,SMALL(Dong5,ROWS($1:44)),)=$E$7,OFFSET(TH!M$1,SMALL(Dong5,ROWS($1:44)),),OFFSET(TH!L$1,SMALL(Dong5,ROWS($1:44)),)))</f>
        <v>1121</v>
      </c>
      <c r="F58" s="665">
        <f ca="1">IF(ROWS($1:44)&gt;COUNT(Dong5),0,IF(OFFSET(TH!L$1,SMALL(Dong5,ROWS($1:44)),)=$E$7,OFFSET(TH!K$1,SMALL(Dong5,ROWS($1:44)),),0))</f>
        <v>20000</v>
      </c>
      <c r="G58" s="662">
        <f ca="1">IF(ROWS($1:44)&gt;COUNT(Dong5),0,IF(OFFSET(TH!M$1,SMALL(Dong5,ROWS($1:44)),)=$E$7,OFFSET(TH!K$1,SMALL(Dong5,ROWS($1:44)),),0))</f>
        <v>0</v>
      </c>
      <c r="H58" s="666">
        <f t="shared" ca="1" si="6"/>
        <v>0</v>
      </c>
      <c r="I58" s="666">
        <f t="shared" ca="1" si="7"/>
        <v>85470470</v>
      </c>
    </row>
    <row r="59" spans="1:9" ht="18" customHeight="1">
      <c r="A59" s="663">
        <f ca="1">IF(ROWS($1:45)&gt;COUNT(Dong5),"",OFFSET(TH!C$1,SMALL(Dong5,ROWS($1:45)),))</f>
        <v>42688</v>
      </c>
      <c r="B59" s="663" t="str">
        <f ca="1">IF(ROWS($1:45)&gt;COUNT(Dong5),"",OFFSET(TH!D$1,SMALL(Dong5,ROWS($1:45)),))</f>
        <v>GBN</v>
      </c>
      <c r="C59" s="663">
        <f ca="1">IF(ROWS($1:45)&gt;COUNT(Dong5),"",OFFSET(TH!E$1,SMALL(Dong5,ROWS($1:45)),))</f>
        <v>42688</v>
      </c>
      <c r="D59" s="664" t="str">
        <f ca="1">IF(ROWS($1:45)&gt;COUNT(Dong5),"",OFFSET(TH!F$1,SMALL(Dong5,ROWS($1:45)),))</f>
        <v>Phí chuyển tiền</v>
      </c>
      <c r="E59" s="663" t="str">
        <f ca="1">IF(ROWS($1:45)&gt;COUNT(Dong5),"",IF(OFFSET(TH!L$1,SMALL(Dong5,ROWS($1:45)),)=$E$7,OFFSET(TH!M$1,SMALL(Dong5,ROWS($1:45)),),OFFSET(TH!L$1,SMALL(Dong5,ROWS($1:45)),)))</f>
        <v>1121</v>
      </c>
      <c r="F59" s="665">
        <f ca="1">IF(ROWS($1:45)&gt;COUNT(Dong5),0,IF(OFFSET(TH!L$1,SMALL(Dong5,ROWS($1:45)),)=$E$7,OFFSET(TH!K$1,SMALL(Dong5,ROWS($1:45)),),0))</f>
        <v>10000</v>
      </c>
      <c r="G59" s="662">
        <f ca="1">IF(ROWS($1:45)&gt;COUNT(Dong5),0,IF(OFFSET(TH!M$1,SMALL(Dong5,ROWS($1:45)),)=$E$7,OFFSET(TH!K$1,SMALL(Dong5,ROWS($1:45)),),0))</f>
        <v>0</v>
      </c>
      <c r="H59" s="666">
        <f t="shared" ca="1" si="6"/>
        <v>0</v>
      </c>
      <c r="I59" s="666">
        <f t="shared" ca="1" si="7"/>
        <v>85460470</v>
      </c>
    </row>
    <row r="60" spans="1:9" ht="18" customHeight="1">
      <c r="A60" s="663">
        <f ca="1">IF(ROWS($1:46)&gt;COUNT(Dong5),"",OFFSET(TH!C$1,SMALL(Dong5,ROWS($1:46)),))</f>
        <v>42689</v>
      </c>
      <c r="B60" s="663" t="str">
        <f ca="1">IF(ROWS($1:46)&gt;COUNT(Dong5),"",OFFSET(TH!D$1,SMALL(Dong5,ROWS($1:46)),))</f>
        <v>CTGS</v>
      </c>
      <c r="C60" s="663">
        <f ca="1">IF(ROWS($1:46)&gt;COUNT(Dong5),"",OFFSET(TH!E$1,SMALL(Dong5,ROWS($1:46)),))</f>
        <v>42689</v>
      </c>
      <c r="D60" s="664" t="str">
        <f ca="1">IF(ROWS($1:46)&gt;COUNT(Dong5),"",OFFSET(TH!F$1,SMALL(Dong5,ROWS($1:46)),))</f>
        <v>Tiền thuê xưởng T11/2016</v>
      </c>
      <c r="E60" s="663" t="str">
        <f ca="1">IF(ROWS($1:46)&gt;COUNT(Dong5),"",IF(OFFSET(TH!L$1,SMALL(Dong5,ROWS($1:46)),)=$E$7,OFFSET(TH!M$1,SMALL(Dong5,ROWS($1:46)),),OFFSET(TH!L$1,SMALL(Dong5,ROWS($1:46)),)))</f>
        <v>331</v>
      </c>
      <c r="F60" s="665">
        <f ca="1">IF(ROWS($1:46)&gt;COUNT(Dong5),0,IF(OFFSET(TH!L$1,SMALL(Dong5,ROWS($1:46)),)=$E$7,OFFSET(TH!K$1,SMALL(Dong5,ROWS($1:46)),),0))</f>
        <v>37000000</v>
      </c>
      <c r="G60" s="662">
        <f ca="1">IF(ROWS($1:46)&gt;COUNT(Dong5),0,IF(OFFSET(TH!M$1,SMALL(Dong5,ROWS($1:46)),)=$E$7,OFFSET(TH!K$1,SMALL(Dong5,ROWS($1:46)),),0))</f>
        <v>0</v>
      </c>
      <c r="H60" s="666">
        <f t="shared" ca="1" si="6"/>
        <v>0</v>
      </c>
      <c r="I60" s="666">
        <f t="shared" ca="1" si="7"/>
        <v>48460470</v>
      </c>
    </row>
    <row r="61" spans="1:9" ht="18" customHeight="1">
      <c r="A61" s="663"/>
      <c r="B61" s="663"/>
      <c r="C61" s="663"/>
      <c r="D61" s="664"/>
      <c r="E61" s="663"/>
      <c r="F61" s="665"/>
      <c r="G61" s="662"/>
      <c r="H61" s="666"/>
      <c r="I61" s="666"/>
    </row>
    <row r="62" spans="1:9" ht="18" customHeight="1">
      <c r="A62" s="663"/>
      <c r="B62" s="667"/>
      <c r="C62" s="663"/>
      <c r="D62" s="668" t="s">
        <v>128</v>
      </c>
      <c r="E62" s="667" t="s">
        <v>19</v>
      </c>
      <c r="F62" s="669">
        <f ca="1">SUM(F15:F61)</f>
        <v>242277510</v>
      </c>
      <c r="G62" s="669">
        <f ca="1">SUM(G15:G61)</f>
        <v>290737980</v>
      </c>
      <c r="H62" s="669" t="s">
        <v>19</v>
      </c>
      <c r="I62" s="669" t="s">
        <v>19</v>
      </c>
    </row>
    <row r="63" spans="1:9" ht="18" customHeight="1">
      <c r="A63" s="670"/>
      <c r="B63" s="671"/>
      <c r="C63" s="670"/>
      <c r="D63" s="672" t="s">
        <v>10</v>
      </c>
      <c r="E63" s="671" t="s">
        <v>19</v>
      </c>
      <c r="F63" s="673" t="s">
        <v>19</v>
      </c>
      <c r="G63" s="673" t="s">
        <v>19</v>
      </c>
      <c r="H63" s="674">
        <f ca="1">MAX(H14+F62-G62-I14,0)</f>
        <v>0</v>
      </c>
      <c r="I63" s="674">
        <f ca="1">MAX(I14+G62-F62-H14,0)</f>
        <v>48460470</v>
      </c>
    </row>
    <row r="64" spans="1:9" ht="9.75" customHeight="1"/>
    <row r="65" spans="1:9">
      <c r="C65" s="94" t="s">
        <v>149</v>
      </c>
    </row>
    <row r="66" spans="1:9">
      <c r="C66" s="675" t="str">
        <f ca="1">"- Ngày mở sổ: "&amp;DAY($A$15)&amp;"/"&amp;MONTH($A$15)&amp;"/ " &amp;YEAR($A$15)</f>
        <v>- Ngày mở sổ: 31/12/ 2016</v>
      </c>
    </row>
    <row r="67" spans="1:9" ht="13.5" customHeight="1">
      <c r="E67" s="836" t="str">
        <f ca="1">"Ngày 31 tháng  12  năm  "&amp;YEAR($A$15)</f>
        <v>Ngày 31 tháng  12  năm  2016</v>
      </c>
      <c r="F67" s="836"/>
      <c r="G67" s="836"/>
      <c r="H67" s="836"/>
      <c r="I67" s="836"/>
    </row>
    <row r="68" spans="1:9">
      <c r="A68" s="836" t="s">
        <v>11</v>
      </c>
      <c r="B68" s="836"/>
      <c r="C68" s="836"/>
      <c r="D68" s="836"/>
      <c r="E68" s="836" t="s">
        <v>12</v>
      </c>
      <c r="F68" s="836"/>
      <c r="G68" s="836"/>
      <c r="H68" s="836"/>
      <c r="I68" s="836"/>
    </row>
    <row r="69" spans="1:9">
      <c r="A69" s="836" t="s">
        <v>13</v>
      </c>
      <c r="B69" s="836"/>
      <c r="C69" s="836"/>
      <c r="D69" s="836"/>
      <c r="E69" s="836" t="s">
        <v>13</v>
      </c>
      <c r="F69" s="836"/>
      <c r="G69" s="836"/>
      <c r="H69" s="836"/>
      <c r="I69" s="836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6" customWidth="1"/>
    <col min="3" max="4" width="6.5703125" style="76" customWidth="1"/>
    <col min="5" max="5" width="34.570312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93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39" t="s">
        <v>114</v>
      </c>
      <c r="H1" s="839"/>
      <c r="I1" s="839"/>
      <c r="J1" s="839"/>
    </row>
    <row r="2" spans="1:15" s="293" customFormat="1" ht="16.5" customHeight="1">
      <c r="A2" s="63" t="str">
        <f>TH!A2</f>
        <v>Địa chỉ: Ấp Rừng Sến, xã Mỹ Hạnh Bắc, Huyện Đức Hòa, Tỉnh Long An, Việt Nam</v>
      </c>
      <c r="B2" s="634"/>
      <c r="C2" s="634"/>
      <c r="D2" s="634"/>
      <c r="E2" s="634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  <c r="J2" s="840"/>
    </row>
    <row r="3" spans="1:15" s="293" customFormat="1" ht="16.5" customHeight="1">
      <c r="A3" s="403"/>
      <c r="B3" s="634"/>
      <c r="C3" s="75"/>
      <c r="D3" s="75"/>
      <c r="E3" s="634"/>
      <c r="G3" s="840"/>
      <c r="H3" s="840"/>
      <c r="I3" s="840"/>
      <c r="J3" s="840"/>
    </row>
    <row r="4" spans="1:15" s="293" customFormat="1" ht="6.75" customHeight="1">
      <c r="A4" s="634"/>
      <c r="B4" s="634"/>
      <c r="C4" s="634"/>
      <c r="D4" s="634"/>
      <c r="E4" s="634"/>
      <c r="G4" s="635"/>
      <c r="H4" s="635"/>
      <c r="I4" s="635"/>
      <c r="J4" s="635"/>
    </row>
    <row r="5" spans="1:15" ht="30.75" customHeight="1">
      <c r="A5" s="848" t="s">
        <v>115</v>
      </c>
      <c r="B5" s="848"/>
      <c r="C5" s="848"/>
      <c r="D5" s="848"/>
      <c r="E5" s="848"/>
      <c r="F5" s="848"/>
      <c r="G5" s="848"/>
      <c r="H5" s="848"/>
      <c r="I5" s="848"/>
      <c r="J5" s="848"/>
    </row>
    <row r="6" spans="1:15" ht="14.25" customHeight="1">
      <c r="A6" s="850" t="str">
        <f ca="1">$L$11&amp;" / "&amp;YEAR($A$14)</f>
        <v>Quý IV / 2016</v>
      </c>
      <c r="B6" s="850"/>
      <c r="C6" s="850"/>
      <c r="D6" s="850"/>
      <c r="E6" s="850"/>
      <c r="F6" s="850"/>
      <c r="G6" s="850"/>
      <c r="H6" s="850"/>
      <c r="I6" s="850"/>
      <c r="J6" s="850"/>
    </row>
    <row r="7" spans="1:15">
      <c r="A7" s="849" t="s">
        <v>116</v>
      </c>
      <c r="B7" s="849"/>
      <c r="C7" s="849"/>
      <c r="D7" s="849"/>
      <c r="E7" s="849"/>
      <c r="F7" s="849"/>
      <c r="G7" s="849"/>
      <c r="H7" s="849"/>
      <c r="I7" s="849"/>
      <c r="J7" s="849"/>
    </row>
    <row r="8" spans="1:15">
      <c r="A8" s="849" t="s">
        <v>117</v>
      </c>
      <c r="B8" s="849"/>
      <c r="C8" s="849"/>
      <c r="D8" s="849"/>
      <c r="E8" s="849"/>
      <c r="F8" s="849"/>
      <c r="G8" s="849"/>
      <c r="H8" s="849"/>
      <c r="I8" s="849"/>
      <c r="J8" s="849"/>
    </row>
    <row r="9" spans="1:15">
      <c r="A9" s="77"/>
      <c r="I9" s="77" t="s">
        <v>118</v>
      </c>
    </row>
    <row r="10" spans="1:15" ht="33" customHeight="1" thickBot="1">
      <c r="A10" s="852" t="s">
        <v>20</v>
      </c>
      <c r="B10" s="852" t="s">
        <v>119</v>
      </c>
      <c r="C10" s="851" t="s">
        <v>120</v>
      </c>
      <c r="D10" s="851"/>
      <c r="E10" s="851" t="s">
        <v>0</v>
      </c>
      <c r="F10" s="852" t="s">
        <v>14</v>
      </c>
      <c r="G10" s="851" t="s">
        <v>21</v>
      </c>
      <c r="H10" s="851"/>
      <c r="I10" s="851" t="s">
        <v>121</v>
      </c>
      <c r="J10" s="851" t="s">
        <v>122</v>
      </c>
      <c r="L10" s="637"/>
      <c r="N10" s="828" t="s">
        <v>322</v>
      </c>
      <c r="O10" s="828"/>
    </row>
    <row r="11" spans="1:15" ht="24" customHeight="1" thickBot="1">
      <c r="A11" s="853"/>
      <c r="B11" s="853"/>
      <c r="C11" s="638" t="s">
        <v>123</v>
      </c>
      <c r="D11" s="638" t="s">
        <v>124</v>
      </c>
      <c r="E11" s="851"/>
      <c r="F11" s="853"/>
      <c r="G11" s="638" t="s">
        <v>22</v>
      </c>
      <c r="H11" s="638" t="s">
        <v>23</v>
      </c>
      <c r="I11" s="851"/>
      <c r="J11" s="851"/>
      <c r="L11" s="448" t="s">
        <v>359</v>
      </c>
      <c r="N11" s="506">
        <f>IF(L11="Quý I",1,IF(L11="Quý II",4,IF(L11="Quý III",7,IF(L11="Quý IV",10,""))))</f>
        <v>10</v>
      </c>
      <c r="O11" s="506">
        <f>IF(L11="Quý I",3,IF(L11="Quý II",6,IF(L11="Quý III",9,IF(L11="Quý IV",12,""))))</f>
        <v>12</v>
      </c>
    </row>
    <row r="12" spans="1:15" ht="11.25" customHeight="1">
      <c r="A12" s="638" t="s">
        <v>2</v>
      </c>
      <c r="B12" s="638" t="s">
        <v>3</v>
      </c>
      <c r="C12" s="638" t="s">
        <v>4</v>
      </c>
      <c r="D12" s="638" t="s">
        <v>5</v>
      </c>
      <c r="E12" s="638" t="s">
        <v>6</v>
      </c>
      <c r="F12" s="638" t="s">
        <v>125</v>
      </c>
      <c r="G12" s="638">
        <v>1</v>
      </c>
      <c r="H12" s="638">
        <v>2</v>
      </c>
      <c r="I12" s="638">
        <v>3</v>
      </c>
      <c r="J12" s="638" t="s">
        <v>126</v>
      </c>
      <c r="N12" s="411"/>
      <c r="O12" s="411"/>
    </row>
    <row r="13" spans="1:15" s="78" customFormat="1" ht="21.7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1561850415</v>
      </c>
      <c r="J13" s="79"/>
      <c r="N13" s="410"/>
      <c r="O13" s="410"/>
    </row>
    <row r="14" spans="1:15" ht="21.75" customHeight="1">
      <c r="A14" s="82">
        <f ca="1">IF(ROWS($1:1)&gt;COUNT(Dong1),"",OFFSET(TH!C$1,SMALL(Dong1,ROWS($1:1)),))</f>
        <v>42644</v>
      </c>
      <c r="B14" s="82">
        <f ca="1">IF(ROWS($1:1)&gt;COUNT(Dong1),"",OFFSET(TH!E$1,SMALL(Dong1,ROWS($1:1)),))</f>
        <v>42643</v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>C01</v>
      </c>
      <c r="E14" s="128" t="str">
        <f ca="1">IF(ROWS($1:1)&gt;COUNT(Dong1),"",OFFSET(TH!F$1,SMALL(Dong1,ROWS($1:1)),))</f>
        <v>Dầu DO</v>
      </c>
      <c r="F14" s="86" t="str">
        <f ca="1">IF(ROWS($1:1)&gt;COUNT(Dong1),"",IF(OFFSET(TH!M$1,SMALL(Dong1,ROWS($1:1)),)="1111",OFFSET(TH!L$1,SMALL(Dong1,ROWS($1:1)),),OFFSET(TH!M$1,SMALL(Dong1,ROWS($1:1)),)))</f>
        <v>641</v>
      </c>
      <c r="G14" s="87">
        <f ca="1">IF(ROWS($1:1)&gt;COUNT(Dong1),"",IF(OFFSET(TH!L$1,SMALL(Dong1,ROWS($1:1)),)="1111",OFFSET(TH!K$1,SMALL(Dong1,ROWS($1:1)),),0))</f>
        <v>0</v>
      </c>
      <c r="H14" s="85">
        <f ca="1">IF(ROWS($1:1)&gt;COUNT(Dong1),"",IF(OFFSET(TH!M$1,SMALL(Dong1,ROWS($1:1)),)="1111",OFFSET(TH!K$1,SMALL(Dong1,ROWS($1:1)),),0))</f>
        <v>1000000</v>
      </c>
      <c r="I14" s="83">
        <f ca="1">IF(E14&lt;&gt;"",I13+G14-H14,0)</f>
        <v>1560850415</v>
      </c>
      <c r="J14" s="88"/>
      <c r="N14" s="411"/>
      <c r="O14" s="411"/>
    </row>
    <row r="15" spans="1:15" ht="21.75" customHeight="1">
      <c r="A15" s="82">
        <f ca="1">IF(ROWS($1:2)&gt;COUNT(Dong1),"",OFFSET(TH!C$1,SMALL(Dong1,ROWS($1:2)),))</f>
        <v>42644</v>
      </c>
      <c r="B15" s="82">
        <f ca="1">IF(ROWS($1:2)&gt;COUNT(Dong1),"",OFFSET(TH!E$1,SMALL(Dong1,ROWS($1:2)),))</f>
        <v>42643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VAT Dầu DO</v>
      </c>
      <c r="F15" s="86" t="str">
        <f ca="1">IF(ROWS($1:2)&gt;COUNT(Dong1),"",IF(OFFSET(TH!M$1,SMALL(Dong1,ROWS($1:2)),)="1111",OFFSET(TH!L$1,SMALL(Dong1,ROWS($1:2)),),OFFSET(TH!M$1,SMALL(Dong1,ROWS($1:2)),)))</f>
        <v>1331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100000</v>
      </c>
      <c r="I15" s="83">
        <f t="shared" ref="I15:I56" ca="1" si="0">IF(E15&lt;&gt;"",I14+G15-H15,0)</f>
        <v>1560750415</v>
      </c>
      <c r="J15" s="88"/>
      <c r="N15" s="411"/>
      <c r="O15" s="411"/>
    </row>
    <row r="16" spans="1:15" ht="21.75" customHeight="1">
      <c r="A16" s="82">
        <f ca="1">IF(ROWS($1:3)&gt;COUNT(Dong1),"",OFFSET(TH!C$1,SMALL(Dong1,ROWS($1:3)),))</f>
        <v>42644</v>
      </c>
      <c r="B16" s="82">
        <f ca="1">IF(ROWS($1:3)&gt;COUNT(Dong1),"",OFFSET(TH!E$1,SMALL(Dong1,ROWS($1:3)),))</f>
        <v>42644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Vật dụng sửa xe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3910000</v>
      </c>
      <c r="I16" s="83">
        <f t="shared" ca="1" si="0"/>
        <v>1556840415</v>
      </c>
      <c r="J16" s="88"/>
      <c r="N16" s="411"/>
      <c r="O16" s="411"/>
    </row>
    <row r="17" spans="1:15" ht="21.75" customHeight="1">
      <c r="A17" s="82">
        <f ca="1">IF(ROWS($1:4)&gt;COUNT(Dong1),"",OFFSET(TH!C$1,SMALL(Dong1,ROWS($1:4)),))</f>
        <v>42644</v>
      </c>
      <c r="B17" s="82">
        <f ca="1">IF(ROWS($1:4)&gt;COUNT(Dong1),"",OFFSET(TH!E$1,SMALL(Dong1,ROWS($1:4)),))</f>
        <v>42644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Vật dụng sửa xe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391000</v>
      </c>
      <c r="I17" s="83">
        <f t="shared" ca="1" si="0"/>
        <v>1556449415</v>
      </c>
      <c r="J17" s="88"/>
      <c r="N17" s="411"/>
      <c r="O17" s="411"/>
    </row>
    <row r="18" spans="1:15" ht="21.75" customHeight="1">
      <c r="A18" s="82">
        <f ca="1">IF(ROWS($1:5)&gt;COUNT(Dong1),"",OFFSET(TH!C$1,SMALL(Dong1,ROWS($1:5)),))</f>
        <v>42646</v>
      </c>
      <c r="B18" s="82">
        <f ca="1">IF(ROWS($1:5)&gt;COUNT(Dong1),"",OFFSET(TH!E$1,SMALL(Dong1,ROWS($1:5)),))</f>
        <v>42646</v>
      </c>
      <c r="C18" s="83" t="str">
        <f ca="1">IF(ROWS($1:5)&gt;COUNT(Dong1),"",IF(OFFSET(TH!L$1,SMALL(Dong1,ROWS($1:5)),)="1111",OFFSET(TH!D$1,SMALL(Dong1,ROWS($1:5)),),""))</f>
        <v>T01</v>
      </c>
      <c r="D18" s="84" t="str">
        <f ca="1">IF(ROWS($1:5)&gt;COUNT(Dong1),"",IF(OFFSET(TH!M$1,SMALL(Dong1,ROWS($1:5)),)="1111",OFFSET(TH!D$1,SMALL(Dong1,ROWS($1:5)),),""))</f>
        <v/>
      </c>
      <c r="E18" s="128" t="str">
        <f ca="1">IF(ROWS($1:5)&gt;COUNT(Dong1),"",OFFSET(TH!F$1,SMALL(Dong1,ROWS($1:5)),))</f>
        <v>Rút tiền mặt</v>
      </c>
      <c r="F18" s="86" t="str">
        <f ca="1">IF(ROWS($1:5)&gt;COUNT(Dong1),"",IF(OFFSET(TH!M$1,SMALL(Dong1,ROWS($1:5)),)="1111",OFFSET(TH!L$1,SMALL(Dong1,ROWS($1:5)),),OFFSET(TH!M$1,SMALL(Dong1,ROWS($1:5)),)))</f>
        <v>1121</v>
      </c>
      <c r="G18" s="87">
        <f ca="1">IF(ROWS($1:5)&gt;COUNT(Dong1),"",IF(OFFSET(TH!L$1,SMALL(Dong1,ROWS($1:5)),)="1111",OFFSET(TH!K$1,SMALL(Dong1,ROWS($1:5)),),0))</f>
        <v>19000000</v>
      </c>
      <c r="H18" s="85">
        <f ca="1">IF(ROWS($1:5)&gt;COUNT(Dong1),"",IF(OFFSET(TH!M$1,SMALL(Dong1,ROWS($1:5)),)="1111",OFFSET(TH!K$1,SMALL(Dong1,ROWS($1:5)),),0))</f>
        <v>0</v>
      </c>
      <c r="I18" s="83">
        <f t="shared" ca="1" si="0"/>
        <v>1575449415</v>
      </c>
      <c r="J18" s="88"/>
      <c r="N18" s="411"/>
      <c r="O18" s="411"/>
    </row>
    <row r="19" spans="1:15" ht="21.75" customHeight="1">
      <c r="A19" s="82">
        <f ca="1">IF(ROWS($1:6)&gt;COUNT(Dong1),"",OFFSET(TH!C$1,SMALL(Dong1,ROWS($1:6)),))</f>
        <v>42646</v>
      </c>
      <c r="B19" s="82">
        <f ca="1">IF(ROWS($1:6)&gt;COUNT(Dong1),"",OFFSET(TH!E$1,SMALL(Dong1,ROWS($1:6)),))</f>
        <v>42646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C03</v>
      </c>
      <c r="E19" s="128" t="str">
        <f ca="1">IF(ROWS($1:6)&gt;COUNT(Dong1),"",OFFSET(TH!F$1,SMALL(Dong1,ROWS($1:6)),))</f>
        <v>Dầu DO</v>
      </c>
      <c r="F19" s="86" t="str">
        <f ca="1">IF(ROWS($1:6)&gt;COUNT(Dong1),"",IF(OFFSET(TH!M$1,SMALL(Dong1,ROWS($1:6)),)="1111",OFFSET(TH!L$1,SMALL(Dong1,ROWS($1:6)),),OFFSET(TH!M$1,SMALL(Dong1,ROWS($1:6)),)))</f>
        <v>641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5100454</v>
      </c>
      <c r="I19" s="83">
        <f t="shared" ca="1" si="0"/>
        <v>1570348961</v>
      </c>
      <c r="J19" s="88"/>
      <c r="N19" s="411"/>
      <c r="O19" s="411"/>
    </row>
    <row r="20" spans="1:15" ht="21.75" customHeight="1">
      <c r="A20" s="82">
        <f ca="1">IF(ROWS($1:7)&gt;COUNT(Dong1),"",OFFSET(TH!C$1,SMALL(Dong1,ROWS($1:7)),))</f>
        <v>42646</v>
      </c>
      <c r="B20" s="82">
        <f ca="1">IF(ROWS($1:7)&gt;COUNT(Dong1),"",OFFSET(TH!E$1,SMALL(Dong1,ROWS($1:7)),))</f>
        <v>42646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C03</v>
      </c>
      <c r="E20" s="128" t="str">
        <f ca="1">IF(ROWS($1:7)&gt;COUNT(Dong1),"",OFFSET(TH!F$1,SMALL(Dong1,ROWS($1:7)),))</f>
        <v>VAT Dầu DO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510046</v>
      </c>
      <c r="I20" s="83">
        <f t="shared" ca="1" si="0"/>
        <v>1569838915</v>
      </c>
      <c r="J20" s="88"/>
      <c r="N20" s="411"/>
      <c r="O20" s="411"/>
    </row>
    <row r="21" spans="1:15" ht="21.75" customHeight="1">
      <c r="A21" s="82">
        <f ca="1">IF(ROWS($1:8)&gt;COUNT(Dong1),"",OFFSET(TH!C$1,SMALL(Dong1,ROWS($1:8)),))</f>
        <v>42647</v>
      </c>
      <c r="B21" s="82">
        <f ca="1">IF(ROWS($1:8)&gt;COUNT(Dong1),"",OFFSET(TH!E$1,SMALL(Dong1,ROWS($1:8)),))</f>
        <v>42647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C04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50000000</v>
      </c>
      <c r="I21" s="83">
        <f t="shared" ca="1" si="0"/>
        <v>1519838915</v>
      </c>
      <c r="J21" s="88"/>
      <c r="N21" s="411"/>
      <c r="O21" s="411"/>
    </row>
    <row r="22" spans="1:15" ht="21.75" customHeight="1">
      <c r="A22" s="82">
        <f ca="1">IF(ROWS($1:9)&gt;COUNT(Dong1),"",OFFSET(TH!C$1,SMALL(Dong1,ROWS($1:9)),))</f>
        <v>42647</v>
      </c>
      <c r="B22" s="82">
        <f ca="1">IF(ROWS($1:9)&gt;COUNT(Dong1),"",OFFSET(TH!E$1,SMALL(Dong1,ROWS($1:9)),))</f>
        <v>42647</v>
      </c>
      <c r="C22" s="83" t="str">
        <f ca="1">IF(ROWS($1:9)&gt;COUNT(Dong1),"",IF(OFFSET(TH!L$1,SMALL(Dong1,ROWS($1:9)),)="1111",OFFSET(TH!D$1,SMALL(Dong1,ROWS($1:9)),),""))</f>
        <v>T02</v>
      </c>
      <c r="D22" s="84" t="str">
        <f ca="1">IF(ROWS($1:9)&gt;COUNT(Dong1),"",IF(OFFSET(TH!M$1,SMALL(Dong1,ROWS($1:9)),)="1111",OFFSET(TH!D$1,SMALL(Dong1,ROWS($1:9)),),""))</f>
        <v/>
      </c>
      <c r="E22" s="128" t="str">
        <f ca="1">IF(ROWS($1:9)&gt;COUNT(Dong1),"",OFFSET(TH!F$1,SMALL(Dong1,ROWS($1:9)),))</f>
        <v>Thu tiền hàng</v>
      </c>
      <c r="F22" s="86" t="str">
        <f ca="1">IF(ROWS($1:9)&gt;COUNT(Dong1),"",IF(OFFSET(TH!M$1,SMALL(Dong1,ROWS($1:9)),)="1111",OFFSET(TH!L$1,SMALL(Dong1,ROWS($1:9)),),OFFSET(TH!M$1,SMALL(Dong1,ROWS($1:9)),)))</f>
        <v>131</v>
      </c>
      <c r="G22" s="87">
        <f ca="1">IF(ROWS($1:9)&gt;COUNT(Dong1),"",IF(OFFSET(TH!L$1,SMALL(Dong1,ROWS($1:9)),)="1111",OFFSET(TH!K$1,SMALL(Dong1,ROWS($1:9)),),0))</f>
        <v>9990678</v>
      </c>
      <c r="H22" s="85">
        <f ca="1">IF(ROWS($1:9)&gt;COUNT(Dong1),"",IF(OFFSET(TH!M$1,SMALL(Dong1,ROWS($1:9)),)="1111",OFFSET(TH!K$1,SMALL(Dong1,ROWS($1:9)),),0))</f>
        <v>0</v>
      </c>
      <c r="I22" s="83">
        <f t="shared" ca="1" si="0"/>
        <v>1529829593</v>
      </c>
      <c r="J22" s="88"/>
      <c r="N22" s="411"/>
      <c r="O22" s="411"/>
    </row>
    <row r="23" spans="1:15" ht="21.75" customHeight="1">
      <c r="A23" s="82">
        <f ca="1">IF(ROWS($1:10)&gt;COUNT(Dong1),"",OFFSET(TH!C$1,SMALL(Dong1,ROWS($1:10)),))</f>
        <v>42648</v>
      </c>
      <c r="B23" s="82">
        <f ca="1">IF(ROWS($1:10)&gt;COUNT(Dong1),"",OFFSET(TH!E$1,SMALL(Dong1,ROWS($1:10)),))</f>
        <v>42648</v>
      </c>
      <c r="C23" s="83" t="str">
        <f ca="1">IF(ROWS($1:10)&gt;COUNT(Dong1),"",IF(OFFSET(TH!L$1,SMALL(Dong1,ROWS($1:10)),)="1111",OFFSET(TH!D$1,SMALL(Dong1,ROWS($1:10)),),""))</f>
        <v>T03</v>
      </c>
      <c r="D23" s="84" t="str">
        <f ca="1">IF(ROWS($1:10)&gt;COUNT(Dong1),"",IF(OFFSET(TH!M$1,SMALL(Dong1,ROWS($1:10)),)="1111",OFFSET(TH!D$1,SMALL(Dong1,ROWS($1:10)),),""))</f>
        <v/>
      </c>
      <c r="E23" s="128" t="str">
        <f ca="1">IF(ROWS($1:10)&gt;COUNT(Dong1),"",OFFSET(TH!F$1,SMALL(Dong1,ROWS($1:10)),))</f>
        <v>Thu tiền hàng</v>
      </c>
      <c r="F23" s="86" t="str">
        <f ca="1">IF(ROWS($1:10)&gt;COUNT(Dong1),"",IF(OFFSET(TH!M$1,SMALL(Dong1,ROWS($1:10)),)="1111",OFFSET(TH!L$1,SMALL(Dong1,ROWS($1:10)),),OFFSET(TH!M$1,SMALL(Dong1,ROWS($1:10)),)))</f>
        <v>131</v>
      </c>
      <c r="G23" s="87">
        <f ca="1">IF(ROWS($1:10)&gt;COUNT(Dong1),"",IF(OFFSET(TH!L$1,SMALL(Dong1,ROWS($1:10)),)="1111",OFFSET(TH!K$1,SMALL(Dong1,ROWS($1:10)),),0))</f>
        <v>13909115</v>
      </c>
      <c r="H23" s="85">
        <f ca="1">IF(ROWS($1:10)&gt;COUNT(Dong1),"",IF(OFFSET(TH!M$1,SMALL(Dong1,ROWS($1:10)),)="1111",OFFSET(TH!K$1,SMALL(Dong1,ROWS($1:10)),),0))</f>
        <v>0</v>
      </c>
      <c r="I23" s="83">
        <f t="shared" ca="1" si="0"/>
        <v>1543738708</v>
      </c>
      <c r="J23" s="88"/>
      <c r="N23" s="411"/>
      <c r="O23" s="411"/>
    </row>
    <row r="24" spans="1:15" ht="21.75" customHeight="1">
      <c r="A24" s="82">
        <f ca="1">IF(ROWS($1:11)&gt;COUNT(Dong1),"",OFFSET(TH!C$1,SMALL(Dong1,ROWS($1:11)),))</f>
        <v>42652</v>
      </c>
      <c r="B24" s="82">
        <f ca="1">IF(ROWS($1:11)&gt;COUNT(Dong1),"",OFFSET(TH!E$1,SMALL(Dong1,ROWS($1:11)),))</f>
        <v>42652</v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>C05</v>
      </c>
      <c r="E24" s="128" t="str">
        <f ca="1">IF(ROWS($1:11)&gt;COUNT(Dong1),"",OFFSET(TH!F$1,SMALL(Dong1,ROWS($1:11)),))</f>
        <v>Thanh toán tiền hàng</v>
      </c>
      <c r="F24" s="86" t="str">
        <f ca="1">IF(ROWS($1:11)&gt;COUNT(Dong1),"",IF(OFFSET(TH!M$1,SMALL(Dong1,ROWS($1:11)),)="1111",OFFSET(TH!L$1,SMALL(Dong1,ROWS($1:11)),),OFFSET(TH!M$1,SMALL(Dong1,ROWS($1:11)),)))</f>
        <v>331</v>
      </c>
      <c r="G24" s="87">
        <f ca="1">IF(ROWS($1:11)&gt;COUNT(Dong1),"",IF(OFFSET(TH!L$1,SMALL(Dong1,ROWS($1:11)),)="1111",OFFSET(TH!K$1,SMALL(Dong1,ROWS($1:11)),),0))</f>
        <v>0</v>
      </c>
      <c r="H24" s="85">
        <f ca="1">IF(ROWS($1:11)&gt;COUNT(Dong1),"",IF(OFFSET(TH!M$1,SMALL(Dong1,ROWS($1:11)),)="1111",OFFSET(TH!K$1,SMALL(Dong1,ROWS($1:11)),),0))</f>
        <v>11129250</v>
      </c>
      <c r="I24" s="83">
        <f t="shared" ca="1" si="0"/>
        <v>1532609458</v>
      </c>
      <c r="J24" s="88"/>
      <c r="N24" s="411"/>
      <c r="O24" s="411"/>
    </row>
    <row r="25" spans="1:15" ht="21.75" customHeight="1">
      <c r="A25" s="82">
        <f ca="1">IF(ROWS($1:12)&gt;COUNT(Dong1),"",OFFSET(TH!C$1,SMALL(Dong1,ROWS($1:12)),))</f>
        <v>42657</v>
      </c>
      <c r="B25" s="82">
        <f ca="1">IF(ROWS($1:12)&gt;COUNT(Dong1),"",OFFSET(TH!E$1,SMALL(Dong1,ROWS($1:12)),))</f>
        <v>42657</v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>C06</v>
      </c>
      <c r="E25" s="128" t="str">
        <f ca="1">IF(ROWS($1:12)&gt;COUNT(Dong1),"",OFFSET(TH!F$1,SMALL(Dong1,ROWS($1:12)),))</f>
        <v>Thanh toán tiền hàng</v>
      </c>
      <c r="F25" s="86" t="str">
        <f ca="1">IF(ROWS($1:12)&gt;COUNT(Dong1),"",IF(OFFSET(TH!M$1,SMALL(Dong1,ROWS($1:12)),)="1111",OFFSET(TH!L$1,SMALL(Dong1,ROWS($1:12)),),OFFSET(TH!M$1,SMALL(Dong1,ROWS($1:12)),)))</f>
        <v>331</v>
      </c>
      <c r="G25" s="87">
        <f ca="1">IF(ROWS($1:12)&gt;COUNT(Dong1),"",IF(OFFSET(TH!L$1,SMALL(Dong1,ROWS($1:12)),)="1111",OFFSET(TH!K$1,SMALL(Dong1,ROWS($1:12)),),0))</f>
        <v>0</v>
      </c>
      <c r="H25" s="85">
        <f ca="1">IF(ROWS($1:12)&gt;COUNT(Dong1),"",IF(OFFSET(TH!M$1,SMALL(Dong1,ROWS($1:12)),)="1111",OFFSET(TH!K$1,SMALL(Dong1,ROWS($1:12)),),0))</f>
        <v>14088800</v>
      </c>
      <c r="I25" s="83">
        <f t="shared" ca="1" si="0"/>
        <v>1518520658</v>
      </c>
      <c r="J25" s="88"/>
      <c r="N25" s="411"/>
      <c r="O25" s="411"/>
    </row>
    <row r="26" spans="1:15" ht="21.75" customHeight="1">
      <c r="A26" s="82">
        <f ca="1">IF(ROWS($1:13)&gt;COUNT(Dong1),"",OFFSET(TH!C$1,SMALL(Dong1,ROWS($1:13)),))</f>
        <v>42661</v>
      </c>
      <c r="B26" s="82">
        <f ca="1">IF(ROWS($1:13)&gt;COUNT(Dong1),"",OFFSET(TH!E$1,SMALL(Dong1,ROWS($1:13)),))</f>
        <v>42661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Rút tiền mặt</v>
      </c>
      <c r="F26" s="86" t="str">
        <f ca="1">IF(ROWS($1:13)&gt;COUNT(Dong1),"",IF(OFFSET(TH!M$1,SMALL(Dong1,ROWS($1:13)),)="1111",OFFSET(TH!L$1,SMALL(Dong1,ROWS($1:13)),),OFFSET(TH!M$1,SMALL(Dong1,ROWS($1:13)),)))</f>
        <v>1121</v>
      </c>
      <c r="G26" s="87">
        <f ca="1">IF(ROWS($1:13)&gt;COUNT(Dong1),"",IF(OFFSET(TH!L$1,SMALL(Dong1,ROWS($1:13)),)="1111",OFFSET(TH!K$1,SMALL(Dong1,ROWS($1:13)),),0))</f>
        <v>3000000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1521520658</v>
      </c>
      <c r="J26" s="88"/>
      <c r="N26" s="411"/>
      <c r="O26" s="411"/>
    </row>
    <row r="27" spans="1:15" ht="21.75" customHeight="1">
      <c r="A27" s="82">
        <f ca="1">IF(ROWS($1:14)&gt;COUNT(Dong1),"",OFFSET(TH!C$1,SMALL(Dong1,ROWS($1:14)),))</f>
        <v>42662</v>
      </c>
      <c r="B27" s="82">
        <f ca="1">IF(ROWS($1:14)&gt;COUNT(Dong1),"",OFFSET(TH!E$1,SMALL(Dong1,ROWS($1:14)),))</f>
        <v>42662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12893892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1534414550</v>
      </c>
      <c r="J27" s="88"/>
      <c r="N27" s="411"/>
      <c r="O27" s="411"/>
    </row>
    <row r="28" spans="1:15" ht="21.75" customHeight="1">
      <c r="A28" s="82">
        <f ca="1">IF(ROWS($1:15)&gt;COUNT(Dong1),"",OFFSET(TH!C$1,SMALL(Dong1,ROWS($1:15)),))</f>
        <v>42663</v>
      </c>
      <c r="B28" s="82">
        <f ca="1">IF(ROWS($1:15)&gt;COUNT(Dong1),"",OFFSET(TH!E$1,SMALL(Dong1,ROWS($1:15)),))</f>
        <v>42663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Rút tiền mặt</v>
      </c>
      <c r="F28" s="86" t="str">
        <f ca="1">IF(ROWS($1:15)&gt;COUNT(Dong1),"",IF(OFFSET(TH!M$1,SMALL(Dong1,ROWS($1:15)),)="1111",OFFSET(TH!L$1,SMALL(Dong1,ROWS($1:15)),),OFFSET(TH!M$1,SMALL(Dong1,ROWS($1:15)),)))</f>
        <v>1121</v>
      </c>
      <c r="G28" s="87">
        <f ca="1">IF(ROWS($1:15)&gt;COUNT(Dong1),"",IF(OFFSET(TH!L$1,SMALL(Dong1,ROWS($1:15)),)="1111",OFFSET(TH!K$1,SMALL(Dong1,ROWS($1:15)),),0))</f>
        <v>104000000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1638414550</v>
      </c>
      <c r="J28" s="88"/>
      <c r="N28" s="411"/>
      <c r="O28" s="411"/>
    </row>
    <row r="29" spans="1:15" ht="21.75" customHeight="1">
      <c r="A29" s="82">
        <f ca="1">IF(ROWS($1:16)&gt;COUNT(Dong1),"",OFFSET(TH!C$1,SMALL(Dong1,ROWS($1:16)),))</f>
        <v>42663</v>
      </c>
      <c r="B29" s="82">
        <f ca="1">IF(ROWS($1:16)&gt;COUNT(Dong1),"",OFFSET(TH!E$1,SMALL(Dong1,ROWS($1:16)),))</f>
        <v>42663</v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>C07</v>
      </c>
      <c r="E29" s="128" t="str">
        <f ca="1">IF(ROWS($1:16)&gt;COUNT(Dong1),"",OFFSET(TH!F$1,SMALL(Dong1,ROWS($1:16)),))</f>
        <v>Văn phòng phẩm</v>
      </c>
      <c r="F29" s="86" t="str">
        <f ca="1">IF(ROWS($1:16)&gt;COUNT(Dong1),"",IF(OFFSET(TH!M$1,SMALL(Dong1,ROWS($1:16)),)="1111",OFFSET(TH!L$1,SMALL(Dong1,ROWS($1:16)),),OFFSET(TH!M$1,SMALL(Dong1,ROWS($1:16)),)))</f>
        <v>642</v>
      </c>
      <c r="G29" s="87">
        <f ca="1">IF(ROWS($1:16)&gt;COUNT(Dong1),"",IF(OFFSET(TH!L$1,SMALL(Dong1,ROWS($1:16)),)="1111",OFFSET(TH!K$1,SMALL(Dong1,ROWS($1:16)),),0))</f>
        <v>0</v>
      </c>
      <c r="H29" s="85">
        <f ca="1">IF(ROWS($1:16)&gt;COUNT(Dong1),"",IF(OFFSET(TH!M$1,SMALL(Dong1,ROWS($1:16)),)="1111",OFFSET(TH!K$1,SMALL(Dong1,ROWS($1:16)),),0))</f>
        <v>934000</v>
      </c>
      <c r="I29" s="83">
        <f t="shared" ca="1" si="0"/>
        <v>1637480550</v>
      </c>
      <c r="J29" s="88"/>
      <c r="N29" s="411"/>
      <c r="O29" s="411"/>
    </row>
    <row r="30" spans="1:15" ht="21.75" customHeight="1">
      <c r="A30" s="82">
        <f ca="1">IF(ROWS($1:17)&gt;COUNT(Dong1),"",OFFSET(TH!C$1,SMALL(Dong1,ROWS($1:17)),))</f>
        <v>42663</v>
      </c>
      <c r="B30" s="82">
        <f ca="1">IF(ROWS($1:17)&gt;COUNT(Dong1),"",OFFSET(TH!E$1,SMALL(Dong1,ROWS($1:17)),))</f>
        <v>42663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VAT Văn phòng phẩm</v>
      </c>
      <c r="F30" s="86" t="str">
        <f ca="1">IF(ROWS($1:17)&gt;COUNT(Dong1),"",IF(OFFSET(TH!M$1,SMALL(Dong1,ROWS($1:17)),)="1111",OFFSET(TH!L$1,SMALL(Dong1,ROWS($1:17)),),OFFSET(TH!M$1,SMALL(Dong1,ROWS($1:17)),)))</f>
        <v>1331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93400</v>
      </c>
      <c r="I30" s="83">
        <f t="shared" ca="1" si="0"/>
        <v>1637387150</v>
      </c>
      <c r="J30" s="88"/>
      <c r="N30" s="411"/>
      <c r="O30" s="411"/>
    </row>
    <row r="31" spans="1:15" ht="21.75" customHeight="1">
      <c r="A31" s="82">
        <f ca="1">IF(ROWS($1:18)&gt;COUNT(Dong1),"",OFFSET(TH!C$1,SMALL(Dong1,ROWS($1:18)),))</f>
        <v>42665</v>
      </c>
      <c r="B31" s="82">
        <f ca="1">IF(ROWS($1:18)&gt;COUNT(Dong1),"",OFFSET(TH!E$1,SMALL(Dong1,ROWS($1:18)),))</f>
        <v>42665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C08</v>
      </c>
      <c r="E31" s="128" t="str">
        <f ca="1">IF(ROWS($1:18)&gt;COUNT(Dong1),"",OFFSET(TH!F$1,SMALL(Dong1,ROWS($1:18)),))</f>
        <v>Thanh toán tiền hàng</v>
      </c>
      <c r="F31" s="86" t="str">
        <f ca="1">IF(ROWS($1:18)&gt;COUNT(Dong1),"",IF(OFFSET(TH!M$1,SMALL(Dong1,ROWS($1:18)),)="1111",OFFSET(TH!L$1,SMALL(Dong1,ROWS($1:18)),),OFFSET(TH!M$1,SMALL(Dong1,ROWS($1:18)),)))</f>
        <v>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11466400</v>
      </c>
      <c r="I31" s="83">
        <f t="shared" ca="1" si="0"/>
        <v>1625920750</v>
      </c>
      <c r="J31" s="88"/>
      <c r="N31" s="411"/>
      <c r="O31" s="411"/>
    </row>
    <row r="32" spans="1:15" ht="21.75" customHeight="1">
      <c r="A32" s="82">
        <f ca="1">IF(ROWS($1:19)&gt;COUNT(Dong1),"",OFFSET(TH!C$1,SMALL(Dong1,ROWS($1:19)),))</f>
        <v>42668</v>
      </c>
      <c r="B32" s="82">
        <f ca="1">IF(ROWS($1:19)&gt;COUNT(Dong1),"",OFFSET(TH!E$1,SMALL(Dong1,ROWS($1:19)),))</f>
        <v>42668</v>
      </c>
      <c r="C32" s="83" t="str">
        <f ca="1">IF(ROWS($1:19)&gt;COUNT(Dong1),"",IF(OFFSET(TH!L$1,SMALL(Dong1,ROWS($1:19)),)="1111",OFFSET(TH!D$1,SMALL(Dong1,ROWS($1:19)),),""))</f>
        <v>T07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3500000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1629420750</v>
      </c>
      <c r="J32" s="88"/>
      <c r="N32" s="411"/>
      <c r="O32" s="411"/>
    </row>
    <row r="33" spans="1:15" ht="21.75" customHeight="1">
      <c r="A33" s="82">
        <f ca="1">IF(ROWS($1:20)&gt;COUNT(Dong1),"",OFFSET(TH!C$1,SMALL(Dong1,ROWS($1:20)),))</f>
        <v>42673</v>
      </c>
      <c r="B33" s="82">
        <f ca="1">IF(ROWS($1:20)&gt;COUNT(Dong1),"",OFFSET(TH!E$1,SMALL(Dong1,ROWS($1:20)),))</f>
        <v>42673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C09</v>
      </c>
      <c r="E33" s="128" t="str">
        <f ca="1">IF(ROWS($1:20)&gt;COUNT(Dong1),"",OFFSET(TH!F$1,SMALL(Dong1,ROWS($1:20)),))</f>
        <v>Phí sử dụng đường bộ</v>
      </c>
      <c r="F33" s="86" t="str">
        <f ca="1">IF(ROWS($1:20)&gt;COUNT(Dong1),"",IF(OFFSET(TH!M$1,SMALL(Dong1,ROWS($1:20)),)="1111",OFFSET(TH!L$1,SMALL(Dong1,ROWS($1:20)),),OFFSET(TH!M$1,SMALL(Dong1,ROWS($1:20)),)))</f>
        <v>641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304545</v>
      </c>
      <c r="I33" s="83">
        <f t="shared" ca="1" si="0"/>
        <v>1629116205</v>
      </c>
      <c r="J33" s="88"/>
      <c r="N33" s="411"/>
      <c r="O33" s="411"/>
    </row>
    <row r="34" spans="1:15" ht="21.75" customHeight="1">
      <c r="A34" s="82">
        <f ca="1">IF(ROWS($1:21)&gt;COUNT(Dong1),"",OFFSET(TH!C$1,SMALL(Dong1,ROWS($1:21)),))</f>
        <v>42673</v>
      </c>
      <c r="B34" s="82">
        <f ca="1">IF(ROWS($1:21)&gt;COUNT(Dong1),"",OFFSET(TH!E$1,SMALL(Dong1,ROWS($1:21)),))</f>
        <v>42673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C09</v>
      </c>
      <c r="E34" s="128" t="str">
        <f ca="1">IF(ROWS($1:21)&gt;COUNT(Dong1),"",OFFSET(TH!F$1,SMALL(Dong1,ROWS($1:21)),))</f>
        <v>VAT Phí sử dụng đường bộ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30455</v>
      </c>
      <c r="I34" s="83">
        <f t="shared" ca="1" si="0"/>
        <v>1629085750</v>
      </c>
      <c r="J34" s="88"/>
      <c r="N34" s="411"/>
      <c r="O34" s="411"/>
    </row>
    <row r="35" spans="1:15" ht="21.75" customHeight="1">
      <c r="A35" s="82">
        <f ca="1">IF(ROWS($1:22)&gt;COUNT(Dong1),"",OFFSET(TH!C$1,SMALL(Dong1,ROWS($1:22)),))</f>
        <v>42674</v>
      </c>
      <c r="B35" s="82">
        <f ca="1">IF(ROWS($1:22)&gt;COUNT(Dong1),"",OFFSET(TH!E$1,SMALL(Dong1,ROWS($1:22)),))</f>
        <v>42674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C10</v>
      </c>
      <c r="E35" s="128" t="str">
        <f ca="1">IF(ROWS($1:22)&gt;COUNT(Dong1),"",OFFSET(TH!F$1,SMALL(Dong1,ROWS($1:22)),))</f>
        <v>Thanh toán tiền lương tháng 10/2016</v>
      </c>
      <c r="F35" s="86" t="str">
        <f ca="1">IF(ROWS($1:22)&gt;COUNT(Dong1),"",IF(OFFSET(TH!M$1,SMALL(Dong1,ROWS($1:22)),)="1111",OFFSET(TH!L$1,SMALL(Dong1,ROWS($1:22)),),OFFSET(TH!M$1,SMALL(Dong1,ROWS($1:22)),)))</f>
        <v>3341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18350000</v>
      </c>
      <c r="I35" s="83">
        <f t="shared" ca="1" si="0"/>
        <v>1610735750</v>
      </c>
      <c r="J35" s="88"/>
      <c r="N35" s="411"/>
      <c r="O35" s="411"/>
    </row>
    <row r="36" spans="1:15" ht="21.75" customHeight="1">
      <c r="A36" s="82">
        <f ca="1">IF(ROWS($1:23)&gt;COUNT(Dong1),"",OFFSET(TH!C$1,SMALL(Dong1,ROWS($1:23)),))</f>
        <v>42676</v>
      </c>
      <c r="B36" s="82">
        <f ca="1">IF(ROWS($1:23)&gt;COUNT(Dong1),"",OFFSET(TH!E$1,SMALL(Dong1,ROWS($1:23)),))</f>
        <v>42676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C11</v>
      </c>
      <c r="E36" s="128" t="str">
        <f ca="1">IF(ROWS($1:23)&gt;COUNT(Dong1),"",OFFSET(TH!F$1,SMALL(Dong1,ROWS($1:23)),))</f>
        <v>Dầu DO</v>
      </c>
      <c r="F36" s="86" t="str">
        <f ca="1">IF(ROWS($1:23)&gt;COUNT(Dong1),"",IF(OFFSET(TH!M$1,SMALL(Dong1,ROWS($1:23)),)="1111",OFFSET(TH!L$1,SMALL(Dong1,ROWS($1:23)),),OFFSET(TH!M$1,SMALL(Dong1,ROWS($1:23)),)))</f>
        <v>641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4912090</v>
      </c>
      <c r="I36" s="83">
        <f t="shared" ca="1" si="0"/>
        <v>1605823660</v>
      </c>
      <c r="J36" s="88"/>
      <c r="N36" s="411"/>
      <c r="O36" s="411"/>
    </row>
    <row r="37" spans="1:15" ht="21.75" customHeight="1">
      <c r="A37" s="82">
        <f ca="1">IF(ROWS($1:24)&gt;COUNT(Dong1),"",OFFSET(TH!C$1,SMALL(Dong1,ROWS($1:24)),))</f>
        <v>42676</v>
      </c>
      <c r="B37" s="82">
        <f ca="1">IF(ROWS($1:24)&gt;COUNT(Dong1),"",OFFSET(TH!E$1,SMALL(Dong1,ROWS($1:24)),))</f>
        <v>42676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C11</v>
      </c>
      <c r="E37" s="128" t="str">
        <f ca="1">IF(ROWS($1:24)&gt;COUNT(Dong1),"",OFFSET(TH!F$1,SMALL(Dong1,ROWS($1:24)),))</f>
        <v>VAT Dầu DO</v>
      </c>
      <c r="F37" s="86" t="str">
        <f ca="1">IF(ROWS($1:24)&gt;COUNT(Dong1),"",IF(OFFSET(TH!M$1,SMALL(Dong1,ROWS($1:24)),)="1111",OFFSET(TH!L$1,SMALL(Dong1,ROWS($1:24)),),OFFSET(TH!M$1,SMALL(Dong1,ROWS($1:24)),)))</f>
        <v>1331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491210</v>
      </c>
      <c r="I37" s="83">
        <f t="shared" ca="1" si="0"/>
        <v>1605332450</v>
      </c>
      <c r="J37" s="88"/>
      <c r="N37" s="411"/>
      <c r="O37" s="411"/>
    </row>
    <row r="38" spans="1:15" ht="21.75" customHeight="1">
      <c r="A38" s="82">
        <f ca="1">IF(ROWS($1:25)&gt;COUNT(Dong1),"",OFFSET(TH!C$1,SMALL(Dong1,ROWS($1:25)),))</f>
        <v>42678</v>
      </c>
      <c r="B38" s="82">
        <f ca="1">IF(ROWS($1:25)&gt;COUNT(Dong1),"",OFFSET(TH!E$1,SMALL(Dong1,ROWS($1:25)),))</f>
        <v>42678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C12</v>
      </c>
      <c r="E38" s="128" t="str">
        <f ca="1">IF(ROWS($1:25)&gt;COUNT(Dong1),"",OFFSET(TH!F$1,SMALL(Dong1,ROWS($1:25)),))</f>
        <v>Thanh toán tiền hàng</v>
      </c>
      <c r="F38" s="86" t="str">
        <f ca="1">IF(ROWS($1:25)&gt;COUNT(Dong1),"",IF(OFFSET(TH!M$1,SMALL(Dong1,ROWS($1:25)),)="1111",OFFSET(TH!L$1,SMALL(Dong1,ROWS($1:25)),),OFFSET(TH!M$1,SMALL(Dong1,ROWS($1:25)),)))</f>
        <v>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13590500</v>
      </c>
      <c r="I38" s="83">
        <f t="shared" ca="1" si="0"/>
        <v>1591741950</v>
      </c>
      <c r="J38" s="88"/>
      <c r="N38" s="411"/>
      <c r="O38" s="411"/>
    </row>
    <row r="39" spans="1:15" ht="21.75" customHeight="1">
      <c r="A39" s="82">
        <f ca="1">IF(ROWS($1:26)&gt;COUNT(Dong1),"",OFFSET(TH!C$1,SMALL(Dong1,ROWS($1:26)),))</f>
        <v>42678</v>
      </c>
      <c r="B39" s="82">
        <f ca="1">IF(ROWS($1:26)&gt;COUNT(Dong1),"",OFFSET(TH!E$1,SMALL(Dong1,ROWS($1:26)),))</f>
        <v>42678</v>
      </c>
      <c r="C39" s="83" t="str">
        <f ca="1">IF(ROWS($1:26)&gt;COUNT(Dong1),"",IF(OFFSET(TH!L$1,SMALL(Dong1,ROWS($1:26)),)="1111",OFFSET(TH!D$1,SMALL(Dong1,ROWS($1:26)),),""))</f>
        <v>T08</v>
      </c>
      <c r="D39" s="84" t="str">
        <f ca="1">IF(ROWS($1:26)&gt;COUNT(Dong1),"",IF(OFFSET(TH!M$1,SMALL(Dong1,ROWS($1:26)),)="1111",OFFSET(TH!D$1,SMALL(Dong1,ROWS($1:26)),),""))</f>
        <v/>
      </c>
      <c r="E39" s="128" t="str">
        <f ca="1">IF(ROWS($1:26)&gt;COUNT(Dong1),"",OFFSET(TH!F$1,SMALL(Dong1,ROWS($1:26)),))</f>
        <v>Rút tiền mặt</v>
      </c>
      <c r="F39" s="86" t="str">
        <f ca="1">IF(ROWS($1:26)&gt;COUNT(Dong1),"",IF(OFFSET(TH!M$1,SMALL(Dong1,ROWS($1:26)),)="1111",OFFSET(TH!L$1,SMALL(Dong1,ROWS($1:26)),),OFFSET(TH!M$1,SMALL(Dong1,ROWS($1:26)),)))</f>
        <v>1121</v>
      </c>
      <c r="G39" s="87">
        <f ca="1">IF(ROWS($1:26)&gt;COUNT(Dong1),"",IF(OFFSET(TH!L$1,SMALL(Dong1,ROWS($1:26)),)="1111",OFFSET(TH!K$1,SMALL(Dong1,ROWS($1:26)),),0))</f>
        <v>59000000</v>
      </c>
      <c r="H39" s="85">
        <f ca="1">IF(ROWS($1:26)&gt;COUNT(Dong1),"",IF(OFFSET(TH!M$1,SMALL(Dong1,ROWS($1:26)),)="1111",OFFSET(TH!K$1,SMALL(Dong1,ROWS($1:26)),),0))</f>
        <v>0</v>
      </c>
      <c r="I39" s="83">
        <f t="shared" ca="1" si="0"/>
        <v>1650741950</v>
      </c>
      <c r="J39" s="88"/>
      <c r="N39" s="411"/>
      <c r="O39" s="411"/>
    </row>
    <row r="40" spans="1:15" ht="21.75" customHeight="1">
      <c r="A40" s="82">
        <f ca="1">IF(ROWS($1:27)&gt;COUNT(Dong1),"",OFFSET(TH!C$1,SMALL(Dong1,ROWS($1:27)),))</f>
        <v>42679</v>
      </c>
      <c r="B40" s="82">
        <f ca="1">IF(ROWS($1:27)&gt;COUNT(Dong1),"",OFFSET(TH!E$1,SMALL(Dong1,ROWS($1:27)),))</f>
        <v>42679</v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>C13</v>
      </c>
      <c r="E40" s="128" t="str">
        <f ca="1">IF(ROWS($1:27)&gt;COUNT(Dong1),"",OFFSET(TH!F$1,SMALL(Dong1,ROWS($1:27)),))</f>
        <v>Vật dụng sửa xe</v>
      </c>
      <c r="F40" s="86" t="str">
        <f ca="1">IF(ROWS($1:27)&gt;COUNT(Dong1),"",IF(OFFSET(TH!M$1,SMALL(Dong1,ROWS($1:27)),)="1111",OFFSET(TH!L$1,SMALL(Dong1,ROWS($1:27)),),OFFSET(TH!M$1,SMALL(Dong1,ROWS($1:27)),)))</f>
        <v>642</v>
      </c>
      <c r="G40" s="87">
        <f ca="1">IF(ROWS($1:27)&gt;COUNT(Dong1),"",IF(OFFSET(TH!L$1,SMALL(Dong1,ROWS($1:27)),)="1111",OFFSET(TH!K$1,SMALL(Dong1,ROWS($1:27)),),0))</f>
        <v>0</v>
      </c>
      <c r="H40" s="85">
        <f ca="1">IF(ROWS($1:27)&gt;COUNT(Dong1),"",IF(OFFSET(TH!M$1,SMALL(Dong1,ROWS($1:27)),)="1111",OFFSET(TH!K$1,SMALL(Dong1,ROWS($1:27)),),0))</f>
        <v>3910000</v>
      </c>
      <c r="I40" s="83">
        <f t="shared" ca="1" si="0"/>
        <v>1646831950</v>
      </c>
      <c r="J40" s="88"/>
      <c r="N40" s="411"/>
      <c r="O40" s="411"/>
    </row>
    <row r="41" spans="1:15" ht="21.75" customHeight="1">
      <c r="A41" s="82">
        <f ca="1">IF(ROWS($1:28)&gt;COUNT(Dong1),"",OFFSET(TH!C$1,SMALL(Dong1,ROWS($1:28)),))</f>
        <v>42679</v>
      </c>
      <c r="B41" s="82">
        <f ca="1">IF(ROWS($1:28)&gt;COUNT(Dong1),"",OFFSET(TH!E$1,SMALL(Dong1,ROWS($1:28)),))</f>
        <v>42679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C13</v>
      </c>
      <c r="E41" s="128" t="str">
        <f ca="1">IF(ROWS($1:28)&gt;COUNT(Dong1),"",OFFSET(TH!F$1,SMALL(Dong1,ROWS($1:28)),))</f>
        <v>VAT Vật dụng sửa xe</v>
      </c>
      <c r="F41" s="86" t="str">
        <f ca="1">IF(ROWS($1:28)&gt;COUNT(Dong1),"",IF(OFFSET(TH!M$1,SMALL(Dong1,ROWS($1:28)),)="1111",OFFSET(TH!L$1,SMALL(Dong1,ROWS($1:28)),),OFFSET(TH!M$1,SMALL(Dong1,ROWS($1:28)),)))</f>
        <v>1331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391000</v>
      </c>
      <c r="I41" s="83">
        <f t="shared" ca="1" si="0"/>
        <v>1646440950</v>
      </c>
      <c r="J41" s="88"/>
      <c r="N41" s="411"/>
      <c r="O41" s="411"/>
    </row>
    <row r="42" spans="1:15" ht="21.75" customHeight="1">
      <c r="A42" s="82">
        <f ca="1">IF(ROWS($1:29)&gt;COUNT(Dong1),"",OFFSET(TH!C$1,SMALL(Dong1,ROWS($1:29)),))</f>
        <v>42683</v>
      </c>
      <c r="B42" s="82">
        <f ca="1">IF(ROWS($1:29)&gt;COUNT(Dong1),"",OFFSET(TH!E$1,SMALL(Dong1,ROWS($1:29)),))</f>
        <v>42683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C14</v>
      </c>
      <c r="E42" s="128" t="str">
        <f ca="1">IF(ROWS($1:29)&gt;COUNT(Dong1),"",OFFSET(TH!F$1,SMALL(Dong1,ROWS($1:29)),))</f>
        <v>Xe nâng tay</v>
      </c>
      <c r="F42" s="86" t="str">
        <f ca="1">IF(ROWS($1:29)&gt;COUNT(Dong1),"",IF(OFFSET(TH!M$1,SMALL(Dong1,ROWS($1:29)),)="1111",OFFSET(TH!L$1,SMALL(Dong1,ROWS($1:29)),),OFFSET(TH!M$1,SMALL(Dong1,ROWS($1:29)),)))</f>
        <v>642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3150000</v>
      </c>
      <c r="I42" s="83">
        <f t="shared" ca="1" si="0"/>
        <v>1643290950</v>
      </c>
      <c r="J42" s="88"/>
      <c r="N42" s="411"/>
      <c r="O42" s="411"/>
    </row>
    <row r="43" spans="1:15" ht="21.75" customHeight="1">
      <c r="A43" s="82">
        <f ca="1">IF(ROWS($1:30)&gt;COUNT(Dong1),"",OFFSET(TH!C$1,SMALL(Dong1,ROWS($1:30)),))</f>
        <v>42683</v>
      </c>
      <c r="B43" s="82">
        <f ca="1">IF(ROWS($1:30)&gt;COUNT(Dong1),"",OFFSET(TH!E$1,SMALL(Dong1,ROWS($1:30)),))</f>
        <v>42683</v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>C14</v>
      </c>
      <c r="E43" s="128" t="str">
        <f ca="1">IF(ROWS($1:30)&gt;COUNT(Dong1),"",OFFSET(TH!F$1,SMALL(Dong1,ROWS($1:30)),))</f>
        <v>VAT Xe nâng tay</v>
      </c>
      <c r="F43" s="86" t="str">
        <f ca="1">IF(ROWS($1:30)&gt;COUNT(Dong1),"",IF(OFFSET(TH!M$1,SMALL(Dong1,ROWS($1:30)),)="1111",OFFSET(TH!L$1,SMALL(Dong1,ROWS($1:30)),),OFFSET(TH!M$1,SMALL(Dong1,ROWS($1:30)),)))</f>
        <v>1331</v>
      </c>
      <c r="G43" s="87">
        <f ca="1">IF(ROWS($1:30)&gt;COUNT(Dong1),"",IF(OFFSET(TH!L$1,SMALL(Dong1,ROWS($1:30)),)="1111",OFFSET(TH!K$1,SMALL(Dong1,ROWS($1:30)),),0))</f>
        <v>0</v>
      </c>
      <c r="H43" s="85">
        <f ca="1">IF(ROWS($1:30)&gt;COUNT(Dong1),"",IF(OFFSET(TH!M$1,SMALL(Dong1,ROWS($1:30)),)="1111",OFFSET(TH!K$1,SMALL(Dong1,ROWS($1:30)),),0))</f>
        <v>315000</v>
      </c>
      <c r="I43" s="83">
        <f t="shared" ca="1" si="0"/>
        <v>1642975950</v>
      </c>
      <c r="J43" s="88"/>
      <c r="N43" s="411"/>
      <c r="O43" s="411"/>
    </row>
    <row r="44" spans="1:15" ht="21.75" customHeight="1">
      <c r="A44" s="82">
        <f ca="1">IF(ROWS($1:31)&gt;COUNT(Dong1),"",OFFSET(TH!C$1,SMALL(Dong1,ROWS($1:31)),))</f>
        <v>42683</v>
      </c>
      <c r="B44" s="82">
        <f ca="1">IF(ROWS($1:31)&gt;COUNT(Dong1),"",OFFSET(TH!E$1,SMALL(Dong1,ROWS($1:31)),))</f>
        <v>42683</v>
      </c>
      <c r="C44" s="83" t="str">
        <f ca="1">IF(ROWS($1:31)&gt;COUNT(Dong1),"",IF(OFFSET(TH!L$1,SMALL(Dong1,ROWS($1:31)),)="1111",OFFSET(TH!D$1,SMALL(Dong1,ROWS($1:31)),),""))</f>
        <v>T09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19800000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1662775950</v>
      </c>
      <c r="J44" s="88"/>
      <c r="N44" s="411"/>
      <c r="O44" s="411"/>
    </row>
    <row r="45" spans="1:15" ht="21.75" customHeight="1">
      <c r="A45" s="82">
        <f ca="1">IF(ROWS($1:32)&gt;COUNT(Dong1),"",OFFSET(TH!C$1,SMALL(Dong1,ROWS($1:32)),))</f>
        <v>42684</v>
      </c>
      <c r="B45" s="82">
        <f ca="1">IF(ROWS($1:32)&gt;COUNT(Dong1),"",OFFSET(TH!E$1,SMALL(Dong1,ROWS($1:32)),))</f>
        <v>42684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C15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19800000</v>
      </c>
      <c r="I45" s="83">
        <f t="shared" ca="1" si="0"/>
        <v>1642975950</v>
      </c>
      <c r="J45" s="88"/>
      <c r="N45" s="411"/>
      <c r="O45" s="411"/>
    </row>
    <row r="46" spans="1:15" ht="21.75" customHeight="1">
      <c r="A46" s="82">
        <f ca="1">IF(ROWS($1:33)&gt;COUNT(Dong1),"",OFFSET(TH!C$1,SMALL(Dong1,ROWS($1:33)),))</f>
        <v>42684</v>
      </c>
      <c r="B46" s="82">
        <f ca="1">IF(ROWS($1:33)&gt;COUNT(Dong1),"",OFFSET(TH!E$1,SMALL(Dong1,ROWS($1:33)),))</f>
        <v>42684</v>
      </c>
      <c r="C46" s="83" t="str">
        <f ca="1">IF(ROWS($1:33)&gt;COUNT(Dong1),"",IF(OFFSET(TH!L$1,SMALL(Dong1,ROWS($1:33)),)="1111",OFFSET(TH!D$1,SMALL(Dong1,ROWS($1:33)),),""))</f>
        <v>T10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19800000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1662775950</v>
      </c>
      <c r="J46" s="88"/>
      <c r="N46" s="411"/>
      <c r="O46" s="411"/>
    </row>
    <row r="47" spans="1:15" ht="21.75" customHeight="1">
      <c r="A47" s="82">
        <f ca="1">IF(ROWS($1:34)&gt;COUNT(Dong1),"",OFFSET(TH!C$1,SMALL(Dong1,ROWS($1:34)),))</f>
        <v>42685</v>
      </c>
      <c r="B47" s="82">
        <f ca="1">IF(ROWS($1:34)&gt;COUNT(Dong1),"",OFFSET(TH!E$1,SMALL(Dong1,ROWS($1:34)),))</f>
        <v>42685</v>
      </c>
      <c r="C47" s="83" t="str">
        <f ca="1">IF(ROWS($1:34)&gt;COUNT(Dong1),"",IF(OFFSET(TH!L$1,SMALL(Dong1,ROWS($1:34)),)="1111",OFFSET(TH!D$1,SMALL(Dong1,ROWS($1:34)),),""))</f>
        <v>T11</v>
      </c>
      <c r="D47" s="84" t="str">
        <f ca="1">IF(ROWS($1:34)&gt;COUNT(Dong1),"",IF(OFFSET(TH!M$1,SMALL(Dong1,ROWS($1:34)),)="1111",OFFSET(TH!D$1,SMALL(Dong1,ROWS($1:34)),),""))</f>
        <v/>
      </c>
      <c r="E47" s="128" t="str">
        <f ca="1">IF(ROWS($1:34)&gt;COUNT(Dong1),"",OFFSET(TH!F$1,SMALL(Dong1,ROWS($1:34)),))</f>
        <v>Rút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18000000</v>
      </c>
      <c r="H47" s="85">
        <f ca="1">IF(ROWS($1:34)&gt;COUNT(Dong1),"",IF(OFFSET(TH!M$1,SMALL(Dong1,ROWS($1:34)),)="1111",OFFSET(TH!K$1,SMALL(Dong1,ROWS($1:34)),),0))</f>
        <v>0</v>
      </c>
      <c r="I47" s="83">
        <f t="shared" ca="1" si="0"/>
        <v>1680775950</v>
      </c>
      <c r="J47" s="88"/>
      <c r="N47" s="411"/>
      <c r="O47" s="411"/>
    </row>
    <row r="48" spans="1:15" ht="21.75" customHeight="1">
      <c r="A48" s="82">
        <f ca="1">IF(ROWS($1:35)&gt;COUNT(Dong1),"",OFFSET(TH!C$1,SMALL(Dong1,ROWS($1:35)),))</f>
        <v>42686</v>
      </c>
      <c r="B48" s="82">
        <f ca="1">IF(ROWS($1:35)&gt;COUNT(Dong1),"",OFFSET(TH!E$1,SMALL(Dong1,ROWS($1:35)),))</f>
        <v>42686</v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>C16</v>
      </c>
      <c r="E48" s="128" t="str">
        <f ca="1">IF(ROWS($1:35)&gt;COUNT(Dong1),"",OFFSET(TH!F$1,SMALL(Dong1,ROWS($1:35)),))</f>
        <v>Mực in</v>
      </c>
      <c r="F48" s="86" t="str">
        <f ca="1">IF(ROWS($1:35)&gt;COUNT(Dong1),"",IF(OFFSET(TH!M$1,SMALL(Dong1,ROWS($1:35)),)="1111",OFFSET(TH!L$1,SMALL(Dong1,ROWS($1:35)),),OFFSET(TH!M$1,SMALL(Dong1,ROWS($1:35)),)))</f>
        <v>154</v>
      </c>
      <c r="G48" s="87">
        <f ca="1">IF(ROWS($1:35)&gt;COUNT(Dong1),"",IF(OFFSET(TH!L$1,SMALL(Dong1,ROWS($1:35)),)="1111",OFFSET(TH!K$1,SMALL(Dong1,ROWS($1:35)),),0))</f>
        <v>0</v>
      </c>
      <c r="H48" s="85">
        <f ca="1">IF(ROWS($1:35)&gt;COUNT(Dong1),"",IF(OFFSET(TH!M$1,SMALL(Dong1,ROWS($1:35)),)="1111",OFFSET(TH!K$1,SMALL(Dong1,ROWS($1:35)),),0))</f>
        <v>5800000</v>
      </c>
      <c r="I48" s="83">
        <f t="shared" ca="1" si="0"/>
        <v>1674975950</v>
      </c>
      <c r="J48" s="88"/>
      <c r="N48" s="411"/>
      <c r="O48" s="411"/>
    </row>
    <row r="49" spans="1:15" ht="21.75" customHeight="1">
      <c r="A49" s="82">
        <f ca="1">IF(ROWS($1:36)&gt;COUNT(Dong1),"",OFFSET(TH!C$1,SMALL(Dong1,ROWS($1:36)),))</f>
        <v>42686</v>
      </c>
      <c r="B49" s="82">
        <f ca="1">IF(ROWS($1:36)&gt;COUNT(Dong1),"",OFFSET(TH!E$1,SMALL(Dong1,ROWS($1:36)),))</f>
        <v>42686</v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>C16</v>
      </c>
      <c r="E49" s="128" t="str">
        <f ca="1">IF(ROWS($1:36)&gt;COUNT(Dong1),"",OFFSET(TH!F$1,SMALL(Dong1,ROWS($1:36)),))</f>
        <v>VAT Mực in</v>
      </c>
      <c r="F49" s="86" t="str">
        <f ca="1">IF(ROWS($1:36)&gt;COUNT(Dong1),"",IF(OFFSET(TH!M$1,SMALL(Dong1,ROWS($1:36)),)="1111",OFFSET(TH!L$1,SMALL(Dong1,ROWS($1:36)),),OFFSET(TH!M$1,SMALL(Dong1,ROWS($1:36)),)))</f>
        <v>1331</v>
      </c>
      <c r="G49" s="87">
        <f ca="1">IF(ROWS($1:36)&gt;COUNT(Dong1),"",IF(OFFSET(TH!L$1,SMALL(Dong1,ROWS($1:36)),)="1111",OFFSET(TH!K$1,SMALL(Dong1,ROWS($1:36)),),0))</f>
        <v>0</v>
      </c>
      <c r="H49" s="85">
        <f ca="1">IF(ROWS($1:36)&gt;COUNT(Dong1),"",IF(OFFSET(TH!M$1,SMALL(Dong1,ROWS($1:36)),)="1111",OFFSET(TH!K$1,SMALL(Dong1,ROWS($1:36)),),0))</f>
        <v>580000</v>
      </c>
      <c r="I49" s="83">
        <f t="shared" ca="1" si="0"/>
        <v>1674395950</v>
      </c>
      <c r="J49" s="88"/>
      <c r="N49" s="411"/>
      <c r="O49" s="411"/>
    </row>
    <row r="50" spans="1:15" ht="21.75" customHeight="1">
      <c r="A50" s="82">
        <f ca="1">IF(ROWS($1:37)&gt;COUNT(Dong1),"",OFFSET(TH!C$1,SMALL(Dong1,ROWS($1:37)),))</f>
        <v>42688</v>
      </c>
      <c r="B50" s="82">
        <f ca="1">IF(ROWS($1:37)&gt;COUNT(Dong1),"",OFFSET(TH!E$1,SMALL(Dong1,ROWS($1:37)),))</f>
        <v>42688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C17</v>
      </c>
      <c r="E50" s="128" t="str">
        <f ca="1">IF(ROWS($1:37)&gt;COUNT(Dong1),"",OFFSET(TH!F$1,SMALL(Dong1,ROWS($1:37)),))</f>
        <v>Thanh toán tiền hàng</v>
      </c>
      <c r="F50" s="86" t="str">
        <f ca="1">IF(ROWS($1:37)&gt;COUNT(Dong1),"",IF(OFFSET(TH!M$1,SMALL(Dong1,ROWS($1:37)),)="1111",OFFSET(TH!L$1,SMALL(Dong1,ROWS($1:37)),),OFFSET(TH!M$1,SMALL(Dong1,ROWS($1:37)),)))</f>
        <v>331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16007200</v>
      </c>
      <c r="I50" s="83">
        <f t="shared" ca="1" si="0"/>
        <v>1658388750</v>
      </c>
      <c r="J50" s="88"/>
    </row>
    <row r="51" spans="1:15" ht="21.75" customHeight="1">
      <c r="A51" s="82">
        <f ca="1">IF(ROWS($1:38)&gt;COUNT(Dong1),"",OFFSET(TH!C$1,SMALL(Dong1,ROWS($1:38)),))</f>
        <v>42688</v>
      </c>
      <c r="B51" s="82">
        <f ca="1">IF(ROWS($1:38)&gt;COUNT(Dong1),"",OFFSET(TH!E$1,SMALL(Dong1,ROWS($1:38)),))</f>
        <v>42688</v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>C18</v>
      </c>
      <c r="E51" s="128" t="str">
        <f ca="1">IF(ROWS($1:38)&gt;COUNT(Dong1),"",OFFSET(TH!F$1,SMALL(Dong1,ROWS($1:38)),))</f>
        <v>Nộp tiền mặt</v>
      </c>
      <c r="F51" s="86" t="str">
        <f ca="1">IF(ROWS($1:38)&gt;COUNT(Dong1),"",IF(OFFSET(TH!M$1,SMALL(Dong1,ROWS($1:38)),)="1111",OFFSET(TH!L$1,SMALL(Dong1,ROWS($1:38)),),OFFSET(TH!M$1,SMALL(Dong1,ROWS($1:38)),)))</f>
        <v>1121</v>
      </c>
      <c r="G51" s="87">
        <f ca="1">IF(ROWS($1:38)&gt;COUNT(Dong1),"",IF(OFFSET(TH!L$1,SMALL(Dong1,ROWS($1:38)),)="1111",OFFSET(TH!K$1,SMALL(Dong1,ROWS($1:38)),),0))</f>
        <v>0</v>
      </c>
      <c r="H51" s="85">
        <f ca="1">IF(ROWS($1:38)&gt;COUNT(Dong1),"",IF(OFFSET(TH!M$1,SMALL(Dong1,ROWS($1:38)),)="1111",OFFSET(TH!K$1,SMALL(Dong1,ROWS($1:38)),),0))</f>
        <v>20000000</v>
      </c>
      <c r="I51" s="83">
        <f t="shared" ca="1" si="0"/>
        <v>1638388750</v>
      </c>
      <c r="J51" s="88"/>
    </row>
    <row r="52" spans="1:15" ht="21.75" customHeight="1">
      <c r="A52" s="82">
        <f ca="1">IF(ROWS($1:39)&gt;COUNT(Dong1),"",OFFSET(TH!C$1,SMALL(Dong1,ROWS($1:39)),))</f>
        <v>42689</v>
      </c>
      <c r="B52" s="82">
        <f ca="1">IF(ROWS($1:39)&gt;COUNT(Dong1),"",OFFSET(TH!E$1,SMALL(Dong1,ROWS($1:39)),))</f>
        <v>42689</v>
      </c>
      <c r="C52" s="83" t="str">
        <f ca="1">IF(ROWS($1:39)&gt;COUNT(Dong1),"",IF(OFFSET(TH!L$1,SMALL(Dong1,ROWS($1:39)),)="1111",OFFSET(TH!D$1,SMALL(Dong1,ROWS($1:39)),),""))</f>
        <v>T12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Rút tiền mặt</v>
      </c>
      <c r="F52" s="86" t="str">
        <f ca="1">IF(ROWS($1:39)&gt;COUNT(Dong1),"",IF(OFFSET(TH!M$1,SMALL(Dong1,ROWS($1:39)),)="1111",OFFSET(TH!L$1,SMALL(Dong1,ROWS($1:39)),),OFFSET(TH!M$1,SMALL(Dong1,ROWS($1:39)),)))</f>
        <v>1121</v>
      </c>
      <c r="G52" s="87">
        <f ca="1">IF(ROWS($1:39)&gt;COUNT(Dong1),"",IF(OFFSET(TH!L$1,SMALL(Dong1,ROWS($1:39)),)="1111",OFFSET(TH!K$1,SMALL(Dong1,ROWS($1:39)),),0))</f>
        <v>10000000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1648388750</v>
      </c>
      <c r="J52" s="88"/>
    </row>
    <row r="53" spans="1:15" ht="21.75" customHeight="1">
      <c r="A53" s="82">
        <f ca="1">IF(ROWS($1:40)&gt;COUNT(Dong1),"",OFFSET(TH!C$1,SMALL(Dong1,ROWS($1:40)),))</f>
        <v>42692</v>
      </c>
      <c r="B53" s="82">
        <f ca="1">IF(ROWS($1:40)&gt;COUNT(Dong1),"",OFFSET(TH!E$1,SMALL(Dong1,ROWS($1:40)),))</f>
        <v>42692</v>
      </c>
      <c r="C53" s="83" t="str">
        <f ca="1">IF(ROWS($1:40)&gt;COUNT(Dong1),"",IF(OFFSET(TH!L$1,SMALL(Dong1,ROWS($1:40)),)="1111",OFFSET(TH!D$1,SMALL(Dong1,ROWS($1:40)),),""))</f>
        <v>T13</v>
      </c>
      <c r="D53" s="84" t="str">
        <f ca="1">IF(ROWS($1:40)&gt;COUNT(Dong1),"",IF(OFFSET(TH!M$1,SMALL(Dong1,ROWS($1:40)),)="1111",OFFSET(TH!D$1,SMALL(Dong1,ROWS($1:40)),),""))</f>
        <v/>
      </c>
      <c r="E53" s="128" t="str">
        <f ca="1">IF(ROWS($1:40)&gt;COUNT(Dong1),"",OFFSET(TH!F$1,SMALL(Dong1,ROWS($1:40)),))</f>
        <v>Rút tiền mặt</v>
      </c>
      <c r="F53" s="86" t="str">
        <f ca="1">IF(ROWS($1:40)&gt;COUNT(Dong1),"",IF(OFFSET(TH!M$1,SMALL(Dong1,ROWS($1:40)),)="1111",OFFSET(TH!L$1,SMALL(Dong1,ROWS($1:40)),),OFFSET(TH!M$1,SMALL(Dong1,ROWS($1:40)),)))</f>
        <v>1121</v>
      </c>
      <c r="G53" s="87">
        <f ca="1">IF(ROWS($1:40)&gt;COUNT(Dong1),"",IF(OFFSET(TH!L$1,SMALL(Dong1,ROWS($1:40)),)="1111",OFFSET(TH!K$1,SMALL(Dong1,ROWS($1:40)),),0))</f>
        <v>54300000</v>
      </c>
      <c r="H53" s="85">
        <f ca="1">IF(ROWS($1:40)&gt;COUNT(Dong1),"",IF(OFFSET(TH!M$1,SMALL(Dong1,ROWS($1:40)),)="1111",OFFSET(TH!K$1,SMALL(Dong1,ROWS($1:40)),),0))</f>
        <v>0</v>
      </c>
      <c r="I53" s="83">
        <f t="shared" ca="1" si="0"/>
        <v>1702688750</v>
      </c>
      <c r="J53" s="88"/>
    </row>
    <row r="54" spans="1:15" ht="21.75" customHeight="1">
      <c r="A54" s="82">
        <f ca="1">IF(ROWS($1:41)&gt;COUNT(Dong1),"",OFFSET(TH!C$1,SMALL(Dong1,ROWS($1:41)),))</f>
        <v>42693</v>
      </c>
      <c r="B54" s="82">
        <f ca="1">IF(ROWS($1:41)&gt;COUNT(Dong1),"",OFFSET(TH!E$1,SMALL(Dong1,ROWS($1:41)),))</f>
        <v>42693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C19</v>
      </c>
      <c r="E54" s="128" t="str">
        <f ca="1">IF(ROWS($1:41)&gt;COUNT(Dong1),"",OFFSET(TH!F$1,SMALL(Dong1,ROWS($1:41)),))</f>
        <v>Chi phí tiếp khách</v>
      </c>
      <c r="F54" s="86" t="str">
        <f ca="1">IF(ROWS($1:41)&gt;COUNT(Dong1),"",IF(OFFSET(TH!M$1,SMALL(Dong1,ROWS($1:41)),)="1111",OFFSET(TH!L$1,SMALL(Dong1,ROWS($1:41)),),OFFSET(TH!M$1,SMALL(Dong1,ROWS($1:41)),)))</f>
        <v>642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843000</v>
      </c>
      <c r="I54" s="83">
        <f t="shared" ca="1" si="0"/>
        <v>1701845750</v>
      </c>
      <c r="J54" s="88"/>
    </row>
    <row r="55" spans="1:15" ht="21.75" customHeight="1">
      <c r="A55" s="82">
        <f ca="1">IF(ROWS($1:42)&gt;COUNT(Dong1),"",OFFSET(TH!C$1,SMALL(Dong1,ROWS($1:42)),))</f>
        <v>42693</v>
      </c>
      <c r="B55" s="82">
        <f ca="1">IF(ROWS($1:42)&gt;COUNT(Dong1),"",OFFSET(TH!E$1,SMALL(Dong1,ROWS($1:42)),))</f>
        <v>42693</v>
      </c>
      <c r="C55" s="83" t="str">
        <f ca="1">IF(ROWS($1:42)&gt;COUNT(Dong1),"",IF(OFFSET(TH!L$1,SMALL(Dong1,ROWS($1:42)),)="1111",OFFSET(TH!D$1,SMALL(Dong1,ROWS($1:42)),),""))</f>
        <v/>
      </c>
      <c r="D55" s="84" t="str">
        <f ca="1">IF(ROWS($1:42)&gt;COUNT(Dong1),"",IF(OFFSET(TH!M$1,SMALL(Dong1,ROWS($1:42)),)="1111",OFFSET(TH!D$1,SMALL(Dong1,ROWS($1:42)),),""))</f>
        <v>C19</v>
      </c>
      <c r="E55" s="128" t="str">
        <f ca="1">IF(ROWS($1:42)&gt;COUNT(Dong1),"",OFFSET(TH!F$1,SMALL(Dong1,ROWS($1:42)),))</f>
        <v>VAT Chi phí tiếp khách</v>
      </c>
      <c r="F55" s="86" t="str">
        <f ca="1">IF(ROWS($1:42)&gt;COUNT(Dong1),"",IF(OFFSET(TH!M$1,SMALL(Dong1,ROWS($1:42)),)="1111",OFFSET(TH!L$1,SMALL(Dong1,ROWS($1:42)),),OFFSET(TH!M$1,SMALL(Dong1,ROWS($1:42)),)))</f>
        <v>1331</v>
      </c>
      <c r="G55" s="87">
        <f ca="1">IF(ROWS($1:42)&gt;COUNT(Dong1),"",IF(OFFSET(TH!L$1,SMALL(Dong1,ROWS($1:42)),)="1111",OFFSET(TH!K$1,SMALL(Dong1,ROWS($1:42)),),0))</f>
        <v>0</v>
      </c>
      <c r="H55" s="85">
        <f ca="1">IF(ROWS($1:42)&gt;COUNT(Dong1),"",IF(OFFSET(TH!M$1,SMALL(Dong1,ROWS($1:42)),)="1111",OFFSET(TH!K$1,SMALL(Dong1,ROWS($1:42)),),0))</f>
        <v>84300</v>
      </c>
      <c r="I55" s="83">
        <f t="shared" ca="1" si="0"/>
        <v>1701761450</v>
      </c>
      <c r="J55" s="88"/>
    </row>
    <row r="56" spans="1:15" ht="21.75" customHeight="1">
      <c r="A56" s="82">
        <f ca="1">IF(ROWS($1:43)&gt;COUNT(Dong1),"",OFFSET(TH!C$1,SMALL(Dong1,ROWS($1:43)),))</f>
        <v>42693</v>
      </c>
      <c r="B56" s="82">
        <f ca="1">IF(ROWS($1:43)&gt;COUNT(Dong1),"",OFFSET(TH!E$1,SMALL(Dong1,ROWS($1:43)),))</f>
        <v>42693</v>
      </c>
      <c r="C56" s="83" t="str">
        <f ca="1">IF(ROWS($1:43)&gt;COUNT(Dong1),"",IF(OFFSET(TH!L$1,SMALL(Dong1,ROWS($1:43)),)="1111",OFFSET(TH!D$1,SMALL(Dong1,ROWS($1:43)),),""))</f>
        <v>T14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Thu tiền hàng</v>
      </c>
      <c r="F56" s="86" t="str">
        <f ca="1">IF(ROWS($1:43)&gt;COUNT(Dong1),"",IF(OFFSET(TH!M$1,SMALL(Dong1,ROWS($1:43)),)="1111",OFFSET(TH!L$1,SMALL(Dong1,ROWS($1:43)),),OFFSET(TH!M$1,SMALL(Dong1,ROWS($1:43)),)))</f>
        <v>131</v>
      </c>
      <c r="G56" s="87">
        <f ca="1">IF(ROWS($1:43)&gt;COUNT(Dong1),"",IF(OFFSET(TH!L$1,SMALL(Dong1,ROWS($1:43)),)="1111",OFFSET(TH!K$1,SMALL(Dong1,ROWS($1:43)),),0))</f>
        <v>9054493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1710815943</v>
      </c>
      <c r="J56" s="88"/>
    </row>
    <row r="57" spans="1:15" ht="21.75" customHeight="1">
      <c r="A57" s="82">
        <f ca="1">IF(ROWS($1:44)&gt;COUNT(Dong1),"",OFFSET(TH!C$1,SMALL(Dong1,ROWS($1:44)),))</f>
        <v>42693</v>
      </c>
      <c r="B57" s="82">
        <f ca="1">IF(ROWS($1:44)&gt;COUNT(Dong1),"",OFFSET(TH!E$1,SMALL(Dong1,ROWS($1:44)),))</f>
        <v>42693</v>
      </c>
      <c r="C57" s="83" t="str">
        <f ca="1">IF(ROWS($1:44)&gt;COUNT(Dong1),"",IF(OFFSET(TH!L$1,SMALL(Dong1,ROWS($1:44)),)="1111",OFFSET(TH!D$1,SMALL(Dong1,ROWS($1:44)),),""))</f>
        <v>T15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Thu tiền hàng</v>
      </c>
      <c r="F57" s="86" t="str">
        <f ca="1">IF(ROWS($1:44)&gt;COUNT(Dong1),"",IF(OFFSET(TH!M$1,SMALL(Dong1,ROWS($1:44)),)="1111",OFFSET(TH!L$1,SMALL(Dong1,ROWS($1:44)),),OFFSET(TH!M$1,SMALL(Dong1,ROWS($1:44)),)))</f>
        <v>131</v>
      </c>
      <c r="G57" s="87">
        <f ca="1">IF(ROWS($1:44)&gt;COUNT(Dong1),"",IF(OFFSET(TH!L$1,SMALL(Dong1,ROWS($1:44)),)="1111",OFFSET(TH!K$1,SMALL(Dong1,ROWS($1:44)),),0))</f>
        <v>19800000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1730615943</v>
      </c>
      <c r="J57" s="88"/>
    </row>
    <row r="58" spans="1:15" ht="21.75" customHeight="1">
      <c r="A58" s="82">
        <f ca="1">IF(ROWS($1:45)&gt;COUNT(Dong1),"",OFFSET(TH!C$1,SMALL(Dong1,ROWS($1:45)),))</f>
        <v>42694</v>
      </c>
      <c r="B58" s="82">
        <f ca="1">IF(ROWS($1:45)&gt;COUNT(Dong1),"",OFFSET(TH!E$1,SMALL(Dong1,ROWS($1:45)),))</f>
        <v>42694</v>
      </c>
      <c r="C58" s="83" t="str">
        <f ca="1">IF(ROWS($1:45)&gt;COUNT(Dong1),"",IF(OFFSET(TH!L$1,SMALL(Dong1,ROWS($1:45)),)="1111",OFFSET(TH!D$1,SMALL(Dong1,ROWS($1:45)),),""))</f>
        <v>T16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15123108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1745739051</v>
      </c>
      <c r="J58" s="88"/>
    </row>
    <row r="59" spans="1:15" ht="21.75" customHeight="1">
      <c r="A59" s="82">
        <f ca="1">IF(ROWS($1:46)&gt;COUNT(Dong1),"",OFFSET(TH!C$1,SMALL(Dong1,ROWS($1:46)),))</f>
        <v>42697</v>
      </c>
      <c r="B59" s="82">
        <f ca="1">IF(ROWS($1:46)&gt;COUNT(Dong1),"",OFFSET(TH!E$1,SMALL(Dong1,ROWS($1:46)),))</f>
        <v>42697</v>
      </c>
      <c r="C59" s="83" t="str">
        <f ca="1">IF(ROWS($1:46)&gt;COUNT(Dong1),"",IF(OFFSET(TH!L$1,SMALL(Dong1,ROWS($1:46)),)="1111",OFFSET(TH!D$1,SMALL(Dong1,ROWS($1:46)),),""))</f>
        <v>T17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16597350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1762336401</v>
      </c>
      <c r="J59" s="88"/>
    </row>
    <row r="60" spans="1:15" ht="21.75" customHeight="1">
      <c r="A60" s="82">
        <f ca="1">IF(ROWS($1:47)&gt;COUNT(Dong1),"",OFFSET(TH!C$1,SMALL(Dong1,ROWS($1:47)),))</f>
        <v>42698</v>
      </c>
      <c r="B60" s="82">
        <f ca="1">IF(ROWS($1:47)&gt;COUNT(Dong1),"",OFFSET(TH!E$1,SMALL(Dong1,ROWS($1:47)),))</f>
        <v>42698</v>
      </c>
      <c r="C60" s="83" t="str">
        <f ca="1">IF(ROWS($1:47)&gt;COUNT(Dong1),"",IF(OFFSET(TH!L$1,SMALL(Dong1,ROWS($1:47)),)="1111",OFFSET(TH!D$1,SMALL(Dong1,ROWS($1:47)),),""))</f>
        <v/>
      </c>
      <c r="D60" s="84" t="str">
        <f ca="1">IF(ROWS($1:47)&gt;COUNT(Dong1),"",IF(OFFSET(TH!M$1,SMALL(Dong1,ROWS($1:47)),)="1111",OFFSET(TH!D$1,SMALL(Dong1,ROWS($1:47)),),""))</f>
        <v>C20</v>
      </c>
      <c r="E60" s="128" t="str">
        <f ca="1">IF(ROWS($1:47)&gt;COUNT(Dong1),"",OFFSET(TH!F$1,SMALL(Dong1,ROWS($1:47)),))</f>
        <v>Văn phòng phẩm</v>
      </c>
      <c r="F60" s="86" t="str">
        <f ca="1">IF(ROWS($1:47)&gt;COUNT(Dong1),"",IF(OFFSET(TH!M$1,SMALL(Dong1,ROWS($1:47)),)="1111",OFFSET(TH!L$1,SMALL(Dong1,ROWS($1:47)),),OFFSET(TH!M$1,SMALL(Dong1,ROWS($1:47)),)))</f>
        <v>642</v>
      </c>
      <c r="G60" s="87">
        <f ca="1">IF(ROWS($1:47)&gt;COUNT(Dong1),"",IF(OFFSET(TH!L$1,SMALL(Dong1,ROWS($1:47)),)="1111",OFFSET(TH!K$1,SMALL(Dong1,ROWS($1:47)),),0))</f>
        <v>0</v>
      </c>
      <c r="H60" s="85">
        <f ca="1">IF(ROWS($1:47)&gt;COUNT(Dong1),"",IF(OFFSET(TH!M$1,SMALL(Dong1,ROWS($1:47)),)="1111",OFFSET(TH!K$1,SMALL(Dong1,ROWS($1:47)),),0))</f>
        <v>1548100</v>
      </c>
      <c r="I60" s="83">
        <f t="shared" ca="1" si="1"/>
        <v>1760788301</v>
      </c>
      <c r="J60" s="88"/>
    </row>
    <row r="61" spans="1:15" ht="21.75" customHeight="1">
      <c r="A61" s="82">
        <f ca="1">IF(ROWS($1:48)&gt;COUNT(Dong1),"",OFFSET(TH!C$1,SMALL(Dong1,ROWS($1:48)),))</f>
        <v>42698</v>
      </c>
      <c r="B61" s="82">
        <f ca="1">IF(ROWS($1:48)&gt;COUNT(Dong1),"",OFFSET(TH!E$1,SMALL(Dong1,ROWS($1:48)),))</f>
        <v>42698</v>
      </c>
      <c r="C61" s="83" t="str">
        <f ca="1">IF(ROWS($1:48)&gt;COUNT(Dong1),"",IF(OFFSET(TH!L$1,SMALL(Dong1,ROWS($1:48)),)="1111",OFFSET(TH!D$1,SMALL(Dong1,ROWS($1:48)),),""))</f>
        <v/>
      </c>
      <c r="D61" s="84" t="str">
        <f ca="1">IF(ROWS($1:48)&gt;COUNT(Dong1),"",IF(OFFSET(TH!M$1,SMALL(Dong1,ROWS($1:48)),)="1111",OFFSET(TH!D$1,SMALL(Dong1,ROWS($1:48)),),""))</f>
        <v>C20</v>
      </c>
      <c r="E61" s="128" t="str">
        <f ca="1">IF(ROWS($1:48)&gt;COUNT(Dong1),"",OFFSET(TH!F$1,SMALL(Dong1,ROWS($1:48)),))</f>
        <v>VAT Văn phòng phẩm</v>
      </c>
      <c r="F61" s="86" t="str">
        <f ca="1">IF(ROWS($1:48)&gt;COUNT(Dong1),"",IF(OFFSET(TH!M$1,SMALL(Dong1,ROWS($1:48)),)="1111",OFFSET(TH!L$1,SMALL(Dong1,ROWS($1:48)),),OFFSET(TH!M$1,SMALL(Dong1,ROWS($1:48)),)))</f>
        <v>1331</v>
      </c>
      <c r="G61" s="87">
        <f ca="1">IF(ROWS($1:48)&gt;COUNT(Dong1),"",IF(OFFSET(TH!L$1,SMALL(Dong1,ROWS($1:48)),)="1111",OFFSET(TH!K$1,SMALL(Dong1,ROWS($1:48)),),0))</f>
        <v>0</v>
      </c>
      <c r="H61" s="85">
        <f ca="1">IF(ROWS($1:48)&gt;COUNT(Dong1),"",IF(OFFSET(TH!M$1,SMALL(Dong1,ROWS($1:48)),)="1111",OFFSET(TH!K$1,SMALL(Dong1,ROWS($1:48)),),0))</f>
        <v>154810</v>
      </c>
      <c r="I61" s="83">
        <f t="shared" ca="1" si="1"/>
        <v>1760633491</v>
      </c>
      <c r="J61" s="88"/>
    </row>
    <row r="62" spans="1:15" ht="21.75" customHeight="1">
      <c r="A62" s="82">
        <f ca="1">IF(ROWS($1:49)&gt;COUNT(Dong1),"",OFFSET(TH!C$1,SMALL(Dong1,ROWS($1:49)),))</f>
        <v>42698</v>
      </c>
      <c r="B62" s="82">
        <f ca="1">IF(ROWS($1:49)&gt;COUNT(Dong1),"",OFFSET(TH!E$1,SMALL(Dong1,ROWS($1:49)),))</f>
        <v>42698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C21</v>
      </c>
      <c r="E62" s="128" t="str">
        <f ca="1">IF(ROWS($1:49)&gt;COUNT(Dong1),"",OFFSET(TH!F$1,SMALL(Dong1,ROWS($1:49)),))</f>
        <v>Thanh toán tiền hàng</v>
      </c>
      <c r="F62" s="86" t="str">
        <f ca="1">IF(ROWS($1:49)&gt;COUNT(Dong1),"",IF(OFFSET(TH!M$1,SMALL(Dong1,ROWS($1:49)),)="1111",OFFSET(TH!L$1,SMALL(Dong1,ROWS($1:49)),),OFFSET(TH!M$1,SMALL(Dong1,ROWS($1:49)),)))</f>
        <v>331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15004000</v>
      </c>
      <c r="I62" s="83">
        <f t="shared" ca="1" si="1"/>
        <v>1745629491</v>
      </c>
      <c r="J62" s="88"/>
    </row>
    <row r="63" spans="1:15" ht="21.75" customHeight="1">
      <c r="A63" s="82">
        <f ca="1">IF(ROWS($1:50)&gt;COUNT(Dong1),"",OFFSET(TH!C$1,SMALL(Dong1,ROWS($1:50)),))</f>
        <v>42699</v>
      </c>
      <c r="B63" s="82">
        <f ca="1">IF(ROWS($1:50)&gt;COUNT(Dong1),"",OFFSET(TH!E$1,SMALL(Dong1,ROWS($1:50)),))</f>
        <v>42699</v>
      </c>
      <c r="C63" s="83" t="str">
        <f ca="1">IF(ROWS($1:50)&gt;COUNT(Dong1),"",IF(OFFSET(TH!L$1,SMALL(Dong1,ROWS($1:50)),)="1111",OFFSET(TH!D$1,SMALL(Dong1,ROWS($1:50)),),""))</f>
        <v>T18</v>
      </c>
      <c r="D63" s="84" t="str">
        <f ca="1">IF(ROWS($1:50)&gt;COUNT(Dong1),"",IF(OFFSET(TH!M$1,SMALL(Dong1,ROWS($1:50)),)="1111",OFFSET(TH!D$1,SMALL(Dong1,ROWS($1:50)),),""))</f>
        <v/>
      </c>
      <c r="E63" s="128" t="str">
        <f ca="1">IF(ROWS($1:50)&gt;COUNT(Dong1),"",OFFSET(TH!F$1,SMALL(Dong1,ROWS($1:50)),))</f>
        <v>Rút tiền mặt</v>
      </c>
      <c r="F63" s="86" t="str">
        <f ca="1">IF(ROWS($1:50)&gt;COUNT(Dong1),"",IF(OFFSET(TH!M$1,SMALL(Dong1,ROWS($1:50)),)="1111",OFFSET(TH!L$1,SMALL(Dong1,ROWS($1:50)),),OFFSET(TH!M$1,SMALL(Dong1,ROWS($1:50)),)))</f>
        <v>1121</v>
      </c>
      <c r="G63" s="87">
        <f ca="1">IF(ROWS($1:50)&gt;COUNT(Dong1),"",IF(OFFSET(TH!L$1,SMALL(Dong1,ROWS($1:50)),)="1111",OFFSET(TH!K$1,SMALL(Dong1,ROWS($1:50)),),0))</f>
        <v>20000000</v>
      </c>
      <c r="H63" s="85">
        <f ca="1">IF(ROWS($1:50)&gt;COUNT(Dong1),"",IF(OFFSET(TH!M$1,SMALL(Dong1,ROWS($1:50)),)="1111",OFFSET(TH!K$1,SMALL(Dong1,ROWS($1:50)),),0))</f>
        <v>0</v>
      </c>
      <c r="I63" s="83">
        <f t="shared" ca="1" si="1"/>
        <v>1765629491</v>
      </c>
      <c r="J63" s="88"/>
    </row>
    <row r="64" spans="1:15" ht="21.75" customHeight="1">
      <c r="A64" s="82">
        <f ca="1">IF(ROWS($1:51)&gt;COUNT(Dong1),"",OFFSET(TH!C$1,SMALL(Dong1,ROWS($1:51)),))</f>
        <v>42703</v>
      </c>
      <c r="B64" s="82">
        <f ca="1">IF(ROWS($1:51)&gt;COUNT(Dong1),"",OFFSET(TH!E$1,SMALL(Dong1,ROWS($1:51)),))</f>
        <v>42703</v>
      </c>
      <c r="C64" s="83" t="str">
        <f ca="1">IF(ROWS($1:51)&gt;COUNT(Dong1),"",IF(OFFSET(TH!L$1,SMALL(Dong1,ROWS($1:51)),)="1111",OFFSET(TH!D$1,SMALL(Dong1,ROWS($1:51)),),""))</f>
        <v>T19</v>
      </c>
      <c r="D64" s="84" t="str">
        <f ca="1">IF(ROWS($1:51)&gt;COUNT(Dong1),"",IF(OFFSET(TH!M$1,SMALL(Dong1,ROWS($1:51)),)="1111",OFFSET(TH!D$1,SMALL(Dong1,ROWS($1:51)),),""))</f>
        <v/>
      </c>
      <c r="E64" s="128" t="str">
        <f ca="1">IF(ROWS($1:51)&gt;COUNT(Dong1),"",OFFSET(TH!F$1,SMALL(Dong1,ROWS($1:51)),))</f>
        <v>Rút tiền mặt</v>
      </c>
      <c r="F64" s="86" t="str">
        <f ca="1">IF(ROWS($1:51)&gt;COUNT(Dong1),"",IF(OFFSET(TH!M$1,SMALL(Dong1,ROWS($1:51)),)="1111",OFFSET(TH!L$1,SMALL(Dong1,ROWS($1:51)),),OFFSET(TH!M$1,SMALL(Dong1,ROWS($1:51)),)))</f>
        <v>1121</v>
      </c>
      <c r="G64" s="87">
        <f ca="1">IF(ROWS($1:51)&gt;COUNT(Dong1),"",IF(OFFSET(TH!L$1,SMALL(Dong1,ROWS($1:51)),)="1111",OFFSET(TH!K$1,SMALL(Dong1,ROWS($1:51)),),0))</f>
        <v>22500000</v>
      </c>
      <c r="H64" s="85">
        <f ca="1">IF(ROWS($1:51)&gt;COUNT(Dong1),"",IF(OFFSET(TH!M$1,SMALL(Dong1,ROWS($1:51)),)="1111",OFFSET(TH!K$1,SMALL(Dong1,ROWS($1:51)),),0))</f>
        <v>0</v>
      </c>
      <c r="I64" s="83">
        <f t="shared" ca="1" si="1"/>
        <v>1788129491</v>
      </c>
      <c r="J64" s="88"/>
    </row>
    <row r="65" spans="1:10" ht="21.75" customHeight="1">
      <c r="A65" s="82">
        <f ca="1">IF(ROWS($1:52)&gt;COUNT(Dong1),"",OFFSET(TH!C$1,SMALL(Dong1,ROWS($1:52)),))</f>
        <v>42703</v>
      </c>
      <c r="B65" s="82">
        <f ca="1">IF(ROWS($1:52)&gt;COUNT(Dong1),"",OFFSET(TH!E$1,SMALL(Dong1,ROWS($1:52)),))</f>
        <v>42703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C22</v>
      </c>
      <c r="E65" s="128" t="str">
        <f ca="1">IF(ROWS($1:52)&gt;COUNT(Dong1),"",OFFSET(TH!F$1,SMALL(Dong1,ROWS($1:52)),))</f>
        <v>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641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436364</v>
      </c>
      <c r="I65" s="83">
        <f t="shared" ca="1" si="1"/>
        <v>1787693127</v>
      </c>
      <c r="J65" s="88"/>
    </row>
    <row r="66" spans="1:10" ht="21.75" customHeight="1">
      <c r="A66" s="82">
        <f ca="1">IF(ROWS($1:53)&gt;COUNT(Dong1),"",OFFSET(TH!C$1,SMALL(Dong1,ROWS($1:53)),))</f>
        <v>42703</v>
      </c>
      <c r="B66" s="82">
        <f ca="1">IF(ROWS($1:53)&gt;COUNT(Dong1),"",OFFSET(TH!E$1,SMALL(Dong1,ROWS($1:53)),))</f>
        <v>42703</v>
      </c>
      <c r="C66" s="83" t="str">
        <f ca="1">IF(ROWS($1:53)&gt;COUNT(Dong1),"",IF(OFFSET(TH!L$1,SMALL(Dong1,ROWS($1:53)),)="1111",OFFSET(TH!D$1,SMALL(Dong1,ROWS($1:53)),),""))</f>
        <v/>
      </c>
      <c r="D66" s="84" t="str">
        <f ca="1">IF(ROWS($1:53)&gt;COUNT(Dong1),"",IF(OFFSET(TH!M$1,SMALL(Dong1,ROWS($1:53)),)="1111",OFFSET(TH!D$1,SMALL(Dong1,ROWS($1:53)),),""))</f>
        <v>C22</v>
      </c>
      <c r="E66" s="128" t="str">
        <f ca="1">IF(ROWS($1:53)&gt;COUNT(Dong1),"",OFFSET(TH!F$1,SMALL(Dong1,ROWS($1:53)),))</f>
        <v>VAT Phí sử dụng đường bộ</v>
      </c>
      <c r="F66" s="86" t="str">
        <f ca="1">IF(ROWS($1:53)&gt;COUNT(Dong1),"",IF(OFFSET(TH!M$1,SMALL(Dong1,ROWS($1:53)),)="1111",OFFSET(TH!L$1,SMALL(Dong1,ROWS($1:53)),),OFFSET(TH!M$1,SMALL(Dong1,ROWS($1:53)),)))</f>
        <v>1331</v>
      </c>
      <c r="G66" s="87">
        <f ca="1">IF(ROWS($1:53)&gt;COUNT(Dong1),"",IF(OFFSET(TH!L$1,SMALL(Dong1,ROWS($1:53)),)="1111",OFFSET(TH!K$1,SMALL(Dong1,ROWS($1:53)),),0))</f>
        <v>0</v>
      </c>
      <c r="H66" s="85">
        <f ca="1">IF(ROWS($1:53)&gt;COUNT(Dong1),"",IF(OFFSET(TH!M$1,SMALL(Dong1,ROWS($1:53)),)="1111",OFFSET(TH!K$1,SMALL(Dong1,ROWS($1:53)),),0))</f>
        <v>43636</v>
      </c>
      <c r="I66" s="83">
        <f t="shared" ca="1" si="1"/>
        <v>1787649491</v>
      </c>
      <c r="J66" s="88"/>
    </row>
    <row r="67" spans="1:10" ht="21.75" customHeight="1">
      <c r="A67" s="82">
        <f ca="1">IF(ROWS($1:54)&gt;COUNT(Dong1),"",OFFSET(TH!C$1,SMALL(Dong1,ROWS($1:54)),))</f>
        <v>42703</v>
      </c>
      <c r="B67" s="82">
        <f ca="1">IF(ROWS($1:54)&gt;COUNT(Dong1),"",OFFSET(TH!E$1,SMALL(Dong1,ROWS($1:54)),))</f>
        <v>42703</v>
      </c>
      <c r="C67" s="83" t="str">
        <f ca="1">IF(ROWS($1:54)&gt;COUNT(Dong1),"",IF(OFFSET(TH!L$1,SMALL(Dong1,ROWS($1:54)),)="1111",OFFSET(TH!D$1,SMALL(Dong1,ROWS($1:54)),),""))</f>
        <v>T20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6159450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1793808941</v>
      </c>
      <c r="J67" s="88"/>
    </row>
    <row r="68" spans="1:10" ht="21.75" customHeight="1">
      <c r="A68" s="82">
        <f ca="1">IF(ROWS($1:55)&gt;COUNT(Dong1),"",OFFSET(TH!C$1,SMALL(Dong1,ROWS($1:55)),))</f>
        <v>42704</v>
      </c>
      <c r="B68" s="82">
        <f ca="1">IF(ROWS($1:55)&gt;COUNT(Dong1),"",OFFSET(TH!E$1,SMALL(Dong1,ROWS($1:55)),))</f>
        <v>42704</v>
      </c>
      <c r="C68" s="83" t="str">
        <f ca="1">IF(ROWS($1:55)&gt;COUNT(Dong1),"",IF(OFFSET(TH!L$1,SMALL(Dong1,ROWS($1:55)),)="1111",OFFSET(TH!D$1,SMALL(Dong1,ROWS($1:55)),),""))</f>
        <v/>
      </c>
      <c r="D68" s="84" t="str">
        <f ca="1">IF(ROWS($1:55)&gt;COUNT(Dong1),"",IF(OFFSET(TH!M$1,SMALL(Dong1,ROWS($1:55)),)="1111",OFFSET(TH!D$1,SMALL(Dong1,ROWS($1:55)),),""))</f>
        <v>C23</v>
      </c>
      <c r="E68" s="128" t="str">
        <f ca="1">IF(ROWS($1:55)&gt;COUNT(Dong1),"",OFFSET(TH!F$1,SMALL(Dong1,ROWS($1:55)),))</f>
        <v>Thanh toán tiền lương tháng 11/2016</v>
      </c>
      <c r="F68" s="86" t="str">
        <f ca="1">IF(ROWS($1:55)&gt;COUNT(Dong1),"",IF(OFFSET(TH!M$1,SMALL(Dong1,ROWS($1:55)),)="1111",OFFSET(TH!L$1,SMALL(Dong1,ROWS($1:55)),),OFFSET(TH!M$1,SMALL(Dong1,ROWS($1:55)),)))</f>
        <v>3341</v>
      </c>
      <c r="G68" s="87">
        <f ca="1">IF(ROWS($1:55)&gt;COUNT(Dong1),"",IF(OFFSET(TH!L$1,SMALL(Dong1,ROWS($1:55)),)="1111",OFFSET(TH!K$1,SMALL(Dong1,ROWS($1:55)),),0))</f>
        <v>0</v>
      </c>
      <c r="H68" s="85">
        <f ca="1">IF(ROWS($1:55)&gt;COUNT(Dong1),"",IF(OFFSET(TH!M$1,SMALL(Dong1,ROWS($1:55)),)="1111",OFFSET(TH!K$1,SMALL(Dong1,ROWS($1:55)),),0))</f>
        <v>18350000</v>
      </c>
      <c r="I68" s="83">
        <f t="shared" ca="1" si="1"/>
        <v>1775458941</v>
      </c>
      <c r="J68" s="88"/>
    </row>
    <row r="69" spans="1:10" ht="21.75" customHeight="1">
      <c r="A69" s="82">
        <f ca="1">IF(ROWS($1:56)&gt;COUNT(Dong1),"",OFFSET(TH!C$1,SMALL(Dong1,ROWS($1:56)),))</f>
        <v>42705</v>
      </c>
      <c r="B69" s="82">
        <f ca="1">IF(ROWS($1:56)&gt;COUNT(Dong1),"",OFFSET(TH!E$1,SMALL(Dong1,ROWS($1:56)),))</f>
        <v>42705</v>
      </c>
      <c r="C69" s="83" t="str">
        <f ca="1">IF(ROWS($1:56)&gt;COUNT(Dong1),"",IF(OFFSET(TH!L$1,SMALL(Dong1,ROWS($1:56)),)="1111",OFFSET(TH!D$1,SMALL(Dong1,ROWS($1:56)),),""))</f>
        <v>T21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19800000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1795258941</v>
      </c>
      <c r="J69" s="88"/>
    </row>
    <row r="70" spans="1:10" ht="21.75" customHeight="1">
      <c r="A70" s="82">
        <f ca="1">IF(ROWS($1:57)&gt;COUNT(Dong1),"",OFFSET(TH!C$1,SMALL(Dong1,ROWS($1:57)),))</f>
        <v>42706</v>
      </c>
      <c r="B70" s="82">
        <f ca="1">IF(ROWS($1:57)&gt;COUNT(Dong1),"",OFFSET(TH!E$1,SMALL(Dong1,ROWS($1:57)),))</f>
        <v>42706</v>
      </c>
      <c r="C70" s="83" t="str">
        <f ca="1">IF(ROWS($1:57)&gt;COUNT(Dong1),"",IF(OFFSET(TH!L$1,SMALL(Dong1,ROWS($1:57)),)="1111",OFFSET(TH!D$1,SMALL(Dong1,ROWS($1:57)),),""))</f>
        <v>T22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13200000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1808458941</v>
      </c>
      <c r="J70" s="88"/>
    </row>
    <row r="71" spans="1:10" ht="21.75" customHeight="1">
      <c r="A71" s="82">
        <f ca="1">IF(ROWS($1:58)&gt;COUNT(Dong1),"",OFFSET(TH!C$1,SMALL(Dong1,ROWS($1:58)),))</f>
        <v>42707</v>
      </c>
      <c r="B71" s="82">
        <f ca="1">IF(ROWS($1:58)&gt;COUNT(Dong1),"",OFFSET(TH!E$1,SMALL(Dong1,ROWS($1:58)),))</f>
        <v>42707</v>
      </c>
      <c r="C71" s="83" t="str">
        <f ca="1">IF(ROWS($1:58)&gt;COUNT(Dong1),"",IF(OFFSET(TH!L$1,SMALL(Dong1,ROWS($1:58)),)="1111",OFFSET(TH!D$1,SMALL(Dong1,ROWS($1:58)),),""))</f>
        <v>T23</v>
      </c>
      <c r="D71" s="84" t="str">
        <f ca="1">IF(ROWS($1:58)&gt;COUNT(Dong1),"",IF(OFFSET(TH!M$1,SMALL(Dong1,ROWS($1:58)),)="1111",OFFSET(TH!D$1,SMALL(Dong1,ROWS($1:58)),),""))</f>
        <v/>
      </c>
      <c r="E71" s="128" t="str">
        <f ca="1">IF(ROWS($1:58)&gt;COUNT(Dong1),"",OFFSET(TH!F$1,SMALL(Dong1,ROWS($1:58)),))</f>
        <v>Thu tiền hàng</v>
      </c>
      <c r="F71" s="86" t="str">
        <f ca="1">IF(ROWS($1:58)&gt;COUNT(Dong1),"",IF(OFFSET(TH!M$1,SMALL(Dong1,ROWS($1:58)),)="1111",OFFSET(TH!L$1,SMALL(Dong1,ROWS($1:58)),),OFFSET(TH!M$1,SMALL(Dong1,ROWS($1:58)),)))</f>
        <v>131</v>
      </c>
      <c r="G71" s="87">
        <f ca="1">IF(ROWS($1:58)&gt;COUNT(Dong1),"",IF(OFFSET(TH!L$1,SMALL(Dong1,ROWS($1:58)),)="1111",OFFSET(TH!K$1,SMALL(Dong1,ROWS($1:58)),),0))</f>
        <v>19800000</v>
      </c>
      <c r="H71" s="85">
        <f ca="1">IF(ROWS($1:58)&gt;COUNT(Dong1),"",IF(OFFSET(TH!M$1,SMALL(Dong1,ROWS($1:58)),)="1111",OFFSET(TH!K$1,SMALL(Dong1,ROWS($1:58)),),0))</f>
        <v>0</v>
      </c>
      <c r="I71" s="83">
        <f t="shared" ca="1" si="1"/>
        <v>1828258941</v>
      </c>
      <c r="J71" s="88"/>
    </row>
    <row r="72" spans="1:10" ht="21.75" customHeight="1">
      <c r="A72" s="82">
        <f ca="1">IF(ROWS($1:59)&gt;COUNT(Dong1),"",OFFSET(TH!C$1,SMALL(Dong1,ROWS($1:59)),))</f>
        <v>42709</v>
      </c>
      <c r="B72" s="82">
        <f ca="1">IF(ROWS($1:59)&gt;COUNT(Dong1),"",OFFSET(TH!E$1,SMALL(Dong1,ROWS($1:59)),))</f>
        <v>42709</v>
      </c>
      <c r="C72" s="83" t="str">
        <f ca="1">IF(ROWS($1:59)&gt;COUNT(Dong1),"",IF(OFFSET(TH!L$1,SMALL(Dong1,ROWS($1:59)),)="1111",OFFSET(TH!D$1,SMALL(Dong1,ROWS($1:59)),),""))</f>
        <v>T24</v>
      </c>
      <c r="D72" s="84" t="str">
        <f ca="1">IF(ROWS($1:59)&gt;COUNT(Dong1),"",IF(OFFSET(TH!M$1,SMALL(Dong1,ROWS($1:59)),)="1111",OFFSET(TH!D$1,SMALL(Dong1,ROWS($1:59)),),""))</f>
        <v/>
      </c>
      <c r="E72" s="128" t="str">
        <f ca="1">IF(ROWS($1:59)&gt;COUNT(Dong1),"",OFFSET(TH!F$1,SMALL(Dong1,ROWS($1:59)),))</f>
        <v>Thu tiền hàng</v>
      </c>
      <c r="F72" s="86" t="str">
        <f ca="1">IF(ROWS($1:59)&gt;COUNT(Dong1),"",IF(OFFSET(TH!M$1,SMALL(Dong1,ROWS($1:59)),)="1111",OFFSET(TH!L$1,SMALL(Dong1,ROWS($1:59)),),OFFSET(TH!M$1,SMALL(Dong1,ROWS($1:59)),)))</f>
        <v>131</v>
      </c>
      <c r="G72" s="87">
        <f ca="1">IF(ROWS($1:59)&gt;COUNT(Dong1),"",IF(OFFSET(TH!L$1,SMALL(Dong1,ROWS($1:59)),)="1111",OFFSET(TH!K$1,SMALL(Dong1,ROWS($1:59)),),0))</f>
        <v>7559640</v>
      </c>
      <c r="H72" s="85">
        <f ca="1">IF(ROWS($1:59)&gt;COUNT(Dong1),"",IF(OFFSET(TH!M$1,SMALL(Dong1,ROWS($1:59)),)="1111",OFFSET(TH!K$1,SMALL(Dong1,ROWS($1:59)),),0))</f>
        <v>0</v>
      </c>
      <c r="I72" s="83">
        <f t="shared" ca="1" si="1"/>
        <v>1835818581</v>
      </c>
      <c r="J72" s="88"/>
    </row>
    <row r="73" spans="1:10" ht="21.75" customHeight="1">
      <c r="A73" s="82">
        <f ca="1">IF(ROWS($1:60)&gt;COUNT(Dong1),"",OFFSET(TH!C$1,SMALL(Dong1,ROWS($1:60)),))</f>
        <v>42709</v>
      </c>
      <c r="B73" s="82">
        <f ca="1">IF(ROWS($1:60)&gt;COUNT(Dong1),"",OFFSET(TH!E$1,SMALL(Dong1,ROWS($1:60)),))</f>
        <v>42709</v>
      </c>
      <c r="C73" s="83" t="str">
        <f ca="1">IF(ROWS($1:60)&gt;COUNT(Dong1),"",IF(OFFSET(TH!L$1,SMALL(Dong1,ROWS($1:60)),)="1111",OFFSET(TH!D$1,SMALL(Dong1,ROWS($1:60)),),""))</f>
        <v>T25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4601300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1840419881</v>
      </c>
      <c r="J73" s="88"/>
    </row>
    <row r="74" spans="1:10" ht="21.75" customHeight="1">
      <c r="A74" s="82">
        <f ca="1">IF(ROWS($1:61)&gt;COUNT(Dong1),"",OFFSET(TH!C$1,SMALL(Dong1,ROWS($1:61)),))</f>
        <v>42709</v>
      </c>
      <c r="B74" s="82">
        <f ca="1">IF(ROWS($1:61)&gt;COUNT(Dong1),"",OFFSET(TH!E$1,SMALL(Dong1,ROWS($1:61)),))</f>
        <v>42709</v>
      </c>
      <c r="C74" s="83" t="str">
        <f ca="1">IF(ROWS($1:61)&gt;COUNT(Dong1),"",IF(OFFSET(TH!L$1,SMALL(Dong1,ROWS($1:61)),)="1111",OFFSET(TH!D$1,SMALL(Dong1,ROWS($1:61)),),""))</f>
        <v>T26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19800000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1860219881</v>
      </c>
      <c r="J74" s="88"/>
    </row>
    <row r="75" spans="1:10" ht="21.75" customHeight="1">
      <c r="A75" s="82">
        <f ca="1">IF(ROWS($1:62)&gt;COUNT(Dong1),"",OFFSET(TH!C$1,SMALL(Dong1,ROWS($1:62)),))</f>
        <v>42710</v>
      </c>
      <c r="B75" s="82">
        <f ca="1">IF(ROWS($1:62)&gt;COUNT(Dong1),"",OFFSET(TH!E$1,SMALL(Dong1,ROWS($1:62)),))</f>
        <v>42710</v>
      </c>
      <c r="C75" s="83" t="str">
        <f ca="1">IF(ROWS($1:62)&gt;COUNT(Dong1),"",IF(OFFSET(TH!L$1,SMALL(Dong1,ROWS($1:62)),)="1111",OFFSET(TH!D$1,SMALL(Dong1,ROWS($1:62)),),""))</f>
        <v>T27</v>
      </c>
      <c r="D75" s="84" t="str">
        <f ca="1">IF(ROWS($1:62)&gt;COUNT(Dong1),"",IF(OFFSET(TH!M$1,SMALL(Dong1,ROWS($1:62)),)="1111",OFFSET(TH!D$1,SMALL(Dong1,ROWS($1:62)),),""))</f>
        <v/>
      </c>
      <c r="E75" s="128" t="str">
        <f ca="1">IF(ROWS($1:62)&gt;COUNT(Dong1),"",OFFSET(TH!F$1,SMALL(Dong1,ROWS($1:62)),))</f>
        <v>Thu tiền hàng</v>
      </c>
      <c r="F75" s="86" t="str">
        <f ca="1">IF(ROWS($1:62)&gt;COUNT(Dong1),"",IF(OFFSET(TH!M$1,SMALL(Dong1,ROWS($1:62)),)="1111",OFFSET(TH!L$1,SMALL(Dong1,ROWS($1:62)),),OFFSET(TH!M$1,SMALL(Dong1,ROWS($1:62)),)))</f>
        <v>131</v>
      </c>
      <c r="G75" s="87">
        <f ca="1">IF(ROWS($1:62)&gt;COUNT(Dong1),"",IF(OFFSET(TH!L$1,SMALL(Dong1,ROWS($1:62)),)="1111",OFFSET(TH!K$1,SMALL(Dong1,ROWS($1:62)),),0))</f>
        <v>19800000</v>
      </c>
      <c r="H75" s="85">
        <f ca="1">IF(ROWS($1:62)&gt;COUNT(Dong1),"",IF(OFFSET(TH!M$1,SMALL(Dong1,ROWS($1:62)),)="1111",OFFSET(TH!K$1,SMALL(Dong1,ROWS($1:62)),),0))</f>
        <v>0</v>
      </c>
      <c r="I75" s="83">
        <f t="shared" ca="1" si="1"/>
        <v>1880019881</v>
      </c>
      <c r="J75" s="88"/>
    </row>
    <row r="76" spans="1:10" ht="21.75" customHeight="1">
      <c r="A76" s="82">
        <f ca="1">IF(ROWS($1:63)&gt;COUNT(Dong1),"",OFFSET(TH!C$1,SMALL(Dong1,ROWS($1:63)),))</f>
        <v>42712</v>
      </c>
      <c r="B76" s="82">
        <f ca="1">IF(ROWS($1:63)&gt;COUNT(Dong1),"",OFFSET(TH!E$1,SMALL(Dong1,ROWS($1:63)),))</f>
        <v>42712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C24</v>
      </c>
      <c r="E76" s="128" t="str">
        <f ca="1">IF(ROWS($1:63)&gt;COUNT(Dong1),"",OFFSET(TH!F$1,SMALL(Dong1,ROWS($1:63)),))</f>
        <v>Thanh toán tiền hàng</v>
      </c>
      <c r="F76" s="86" t="str">
        <f ca="1">IF(ROWS($1:63)&gt;COUNT(Dong1),"",IF(OFFSET(TH!M$1,SMALL(Dong1,ROWS($1:63)),)="1111",OFFSET(TH!L$1,SMALL(Dong1,ROWS($1:63)),),OFFSET(TH!M$1,SMALL(Dong1,ROWS($1:63)),)))</f>
        <v>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17441600</v>
      </c>
      <c r="I76" s="83">
        <f t="shared" ca="1" si="1"/>
        <v>1862578281</v>
      </c>
      <c r="J76" s="88"/>
    </row>
    <row r="77" spans="1:10" ht="21.75" customHeight="1">
      <c r="A77" s="82">
        <f ca="1">IF(ROWS($1:64)&gt;COUNT(Dong1),"",OFFSET(TH!C$1,SMALL(Dong1,ROWS($1:64)),))</f>
        <v>42713</v>
      </c>
      <c r="B77" s="82">
        <f ca="1">IF(ROWS($1:64)&gt;COUNT(Dong1),"",OFFSET(TH!E$1,SMALL(Dong1,ROWS($1:64)),))</f>
        <v>42713</v>
      </c>
      <c r="C77" s="83" t="str">
        <f ca="1">IF(ROWS($1:64)&gt;COUNT(Dong1),"",IF(OFFSET(TH!L$1,SMALL(Dong1,ROWS($1:64)),)="1111",OFFSET(TH!D$1,SMALL(Dong1,ROWS($1:64)),),""))</f>
        <v>T28</v>
      </c>
      <c r="D77" s="84" t="str">
        <f ca="1">IF(ROWS($1:64)&gt;COUNT(Dong1),"",IF(OFFSET(TH!M$1,SMALL(Dong1,ROWS($1:64)),)="1111",OFFSET(TH!D$1,SMALL(Dong1,ROWS($1:64)),),""))</f>
        <v/>
      </c>
      <c r="E77" s="128" t="str">
        <f ca="1">IF(ROWS($1:64)&gt;COUNT(Dong1),"",OFFSET(TH!F$1,SMALL(Dong1,ROWS($1:64)),))</f>
        <v>Thu tiền hàng</v>
      </c>
      <c r="F77" s="86" t="str">
        <f ca="1">IF(ROWS($1:64)&gt;COUNT(Dong1),"",IF(OFFSET(TH!M$1,SMALL(Dong1,ROWS($1:64)),)="1111",OFFSET(TH!L$1,SMALL(Dong1,ROWS($1:64)),),OFFSET(TH!M$1,SMALL(Dong1,ROWS($1:64)),)))</f>
        <v>131</v>
      </c>
      <c r="G77" s="87">
        <f ca="1">IF(ROWS($1:64)&gt;COUNT(Dong1),"",IF(OFFSET(TH!L$1,SMALL(Dong1,ROWS($1:64)),)="1111",OFFSET(TH!K$1,SMALL(Dong1,ROWS($1:64)),),0))</f>
        <v>19800000</v>
      </c>
      <c r="H77" s="85">
        <f ca="1">IF(ROWS($1:64)&gt;COUNT(Dong1),"",IF(OFFSET(TH!M$1,SMALL(Dong1,ROWS($1:64)),)="1111",OFFSET(TH!K$1,SMALL(Dong1,ROWS($1:64)),),0))</f>
        <v>0</v>
      </c>
      <c r="I77" s="83">
        <f t="shared" ca="1" si="1"/>
        <v>1882378281</v>
      </c>
      <c r="J77" s="88"/>
    </row>
    <row r="78" spans="1:10" ht="21.75" customHeight="1">
      <c r="A78" s="82">
        <f ca="1">IF(ROWS($1:65)&gt;COUNT(Dong1),"",OFFSET(TH!C$1,SMALL(Dong1,ROWS($1:65)),))</f>
        <v>42714</v>
      </c>
      <c r="B78" s="82">
        <f ca="1">IF(ROWS($1:65)&gt;COUNT(Dong1),"",OFFSET(TH!E$1,SMALL(Dong1,ROWS($1:65)),))</f>
        <v>42714</v>
      </c>
      <c r="C78" s="83" t="str">
        <f ca="1">IF(ROWS($1:65)&gt;COUNT(Dong1),"",IF(OFFSET(TH!L$1,SMALL(Dong1,ROWS($1:65)),)="1111",OFFSET(TH!D$1,SMALL(Dong1,ROWS($1:65)),),""))</f>
        <v>T29</v>
      </c>
      <c r="D78" s="84" t="str">
        <f ca="1">IF(ROWS($1:65)&gt;COUNT(Dong1),"",IF(OFFSET(TH!M$1,SMALL(Dong1,ROWS($1:65)),)="1111",OFFSET(TH!D$1,SMALL(Dong1,ROWS($1:65)),),""))</f>
        <v/>
      </c>
      <c r="E78" s="128" t="str">
        <f ca="1">IF(ROWS($1:65)&gt;COUNT(Dong1),"",OFFSET(TH!F$1,SMALL(Dong1,ROWS($1:65)),))</f>
        <v>Thu tiền hàng</v>
      </c>
      <c r="F78" s="86" t="str">
        <f ca="1">IF(ROWS($1:65)&gt;COUNT(Dong1),"",IF(OFFSET(TH!M$1,SMALL(Dong1,ROWS($1:65)),)="1111",OFFSET(TH!L$1,SMALL(Dong1,ROWS($1:65)),),OFFSET(TH!M$1,SMALL(Dong1,ROWS($1:65)),)))</f>
        <v>131</v>
      </c>
      <c r="G78" s="87">
        <f ca="1">IF(ROWS($1:65)&gt;COUNT(Dong1),"",IF(OFFSET(TH!L$1,SMALL(Dong1,ROWS($1:65)),)="1111",OFFSET(TH!K$1,SMALL(Dong1,ROWS($1:65)),),0))</f>
        <v>19800000</v>
      </c>
      <c r="H78" s="85">
        <f ca="1">IF(ROWS($1:65)&gt;COUNT(Dong1),"",IF(OFFSET(TH!M$1,SMALL(Dong1,ROWS($1:65)),)="1111",OFFSET(TH!K$1,SMALL(Dong1,ROWS($1:65)),),0))</f>
        <v>0</v>
      </c>
      <c r="I78" s="83">
        <f t="shared" ca="1" si="1"/>
        <v>1902178281</v>
      </c>
      <c r="J78" s="88"/>
    </row>
    <row r="79" spans="1:10" ht="21.75" customHeight="1">
      <c r="A79" s="82">
        <f ca="1">IF(ROWS($1:66)&gt;COUNT(Dong1),"",OFFSET(TH!C$1,SMALL(Dong1,ROWS($1:66)),))</f>
        <v>42715</v>
      </c>
      <c r="B79" s="82">
        <f ca="1">IF(ROWS($1:66)&gt;COUNT(Dong1),"",OFFSET(TH!E$1,SMALL(Dong1,ROWS($1:66)),))</f>
        <v>42715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Thu tiền hàng</v>
      </c>
      <c r="F79" s="86" t="str">
        <f ca="1">IF(ROWS($1:66)&gt;COUNT(Dong1),"",IF(OFFSET(TH!M$1,SMALL(Dong1,ROWS($1:66)),)="1111",OFFSET(TH!L$1,SMALL(Dong1,ROWS($1:66)),),OFFSET(TH!M$1,SMALL(Dong1,ROWS($1:66)),)))</f>
        <v>131</v>
      </c>
      <c r="G79" s="87">
        <f ca="1">IF(ROWS($1:66)&gt;COUNT(Dong1),"",IF(OFFSET(TH!L$1,SMALL(Dong1,ROWS($1:66)),)="1111",OFFSET(TH!K$1,SMALL(Dong1,ROWS($1:66)),),0))</f>
        <v>19800000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1921978281</v>
      </c>
      <c r="J79" s="88"/>
    </row>
    <row r="80" spans="1:10" ht="21.75" customHeight="1">
      <c r="A80" s="82">
        <f ca="1">IF(ROWS($1:67)&gt;COUNT(Dong1),"",OFFSET(TH!C$1,SMALL(Dong1,ROWS($1:67)),))</f>
        <v>42716</v>
      </c>
      <c r="B80" s="82">
        <f ca="1">IF(ROWS($1:67)&gt;COUNT(Dong1),"",OFFSET(TH!E$1,SMALL(Dong1,ROWS($1:67)),))</f>
        <v>42716</v>
      </c>
      <c r="C80" s="83" t="str">
        <f ca="1">IF(ROWS($1:67)&gt;COUNT(Dong1),"",IF(OFFSET(TH!L$1,SMALL(Dong1,ROWS($1:67)),)="1111",OFFSET(TH!D$1,SMALL(Dong1,ROWS($1:67)),),""))</f>
        <v/>
      </c>
      <c r="D80" s="84" t="str">
        <f ca="1">IF(ROWS($1:67)&gt;COUNT(Dong1),"",IF(OFFSET(TH!M$1,SMALL(Dong1,ROWS($1:67)),)="1111",OFFSET(TH!D$1,SMALL(Dong1,ROWS($1:67)),),""))</f>
        <v>C25</v>
      </c>
      <c r="E80" s="128" t="str">
        <f ca="1">IF(ROWS($1:67)&gt;COUNT(Dong1),"",OFFSET(TH!F$1,SMALL(Dong1,ROWS($1:67)),))</f>
        <v>Nộp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0</v>
      </c>
      <c r="H80" s="85">
        <f ca="1">IF(ROWS($1:67)&gt;COUNT(Dong1),"",IF(OFFSET(TH!M$1,SMALL(Dong1,ROWS($1:67)),)="1111",OFFSET(TH!K$1,SMALL(Dong1,ROWS($1:67)),),0))</f>
        <v>4500000</v>
      </c>
      <c r="I80" s="83">
        <f t="shared" ca="1" si="2"/>
        <v>1917478281</v>
      </c>
      <c r="J80" s="88"/>
    </row>
    <row r="81" spans="1:10" ht="21.75" customHeight="1">
      <c r="A81" s="82">
        <f ca="1">IF(ROWS($1:68)&gt;COUNT(Dong1),"",OFFSET(TH!C$1,SMALL(Dong1,ROWS($1:68)),))</f>
        <v>42716</v>
      </c>
      <c r="B81" s="82">
        <f ca="1">IF(ROWS($1:68)&gt;COUNT(Dong1),"",OFFSET(TH!E$1,SMALL(Dong1,ROWS($1:68)),))</f>
        <v>42716</v>
      </c>
      <c r="C81" s="83" t="str">
        <f ca="1">IF(ROWS($1:68)&gt;COUNT(Dong1),"",IF(OFFSET(TH!L$1,SMALL(Dong1,ROWS($1:68)),)="1111",OFFSET(TH!D$1,SMALL(Dong1,ROWS($1:68)),),""))</f>
        <v>T31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19800000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1937278281</v>
      </c>
      <c r="J81" s="88"/>
    </row>
    <row r="82" spans="1:10" ht="21.75" customHeight="1">
      <c r="A82" s="82">
        <f ca="1">IF(ROWS($1:69)&gt;COUNT(Dong1),"",OFFSET(TH!C$1,SMALL(Dong1,ROWS($1:69)),))</f>
        <v>42717</v>
      </c>
      <c r="B82" s="82">
        <f ca="1">IF(ROWS($1:69)&gt;COUNT(Dong1),"",OFFSET(TH!E$1,SMALL(Dong1,ROWS($1:69)),))</f>
        <v>42717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C26</v>
      </c>
      <c r="E82" s="128" t="str">
        <f ca="1">IF(ROWS($1:69)&gt;COUNT(Dong1),"",OFFSET(TH!F$1,SMALL(Dong1,ROWS($1:69)),))</f>
        <v>Nộp tiền mặt</v>
      </c>
      <c r="F82" s="86" t="str">
        <f ca="1">IF(ROWS($1:69)&gt;COUNT(Dong1),"",IF(OFFSET(TH!M$1,SMALL(Dong1,ROWS($1:69)),)="1111",OFFSET(TH!L$1,SMALL(Dong1,ROWS($1:69)),),OFFSET(TH!M$1,SMALL(Dong1,ROWS($1:69)),)))</f>
        <v>1121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13300000</v>
      </c>
      <c r="I82" s="83">
        <f t="shared" ca="1" si="2"/>
        <v>1923978281</v>
      </c>
      <c r="J82" s="88"/>
    </row>
    <row r="83" spans="1:10" ht="21.75" customHeight="1">
      <c r="A83" s="82">
        <f ca="1">IF(ROWS($1:70)&gt;COUNT(Dong1),"",OFFSET(TH!C$1,SMALL(Dong1,ROWS($1:70)),))</f>
        <v>42717</v>
      </c>
      <c r="B83" s="82">
        <f ca="1">IF(ROWS($1:70)&gt;COUNT(Dong1),"",OFFSET(TH!E$1,SMALL(Dong1,ROWS($1:70)),))</f>
        <v>42717</v>
      </c>
      <c r="C83" s="83" t="str">
        <f ca="1">IF(ROWS($1:70)&gt;COUNT(Dong1),"",IF(OFFSET(TH!L$1,SMALL(Dong1,ROWS($1:70)),)="1111",OFFSET(TH!D$1,SMALL(Dong1,ROWS($1:70)),),""))</f>
        <v>T32</v>
      </c>
      <c r="D83" s="84" t="str">
        <f ca="1">IF(ROWS($1:70)&gt;COUNT(Dong1),"",IF(OFFSET(TH!M$1,SMALL(Dong1,ROWS($1:70)),)="1111",OFFSET(TH!D$1,SMALL(Dong1,ROWS($1:70)),),""))</f>
        <v/>
      </c>
      <c r="E83" s="128" t="str">
        <f ca="1">IF(ROWS($1:70)&gt;COUNT(Dong1),"",OFFSET(TH!F$1,SMALL(Dong1,ROWS($1:70)),))</f>
        <v>Thu tiền hàng</v>
      </c>
      <c r="F83" s="86" t="str">
        <f ca="1">IF(ROWS($1:70)&gt;COUNT(Dong1),"",IF(OFFSET(TH!M$1,SMALL(Dong1,ROWS($1:70)),)="1111",OFFSET(TH!L$1,SMALL(Dong1,ROWS($1:70)),),OFFSET(TH!M$1,SMALL(Dong1,ROWS($1:70)),)))</f>
        <v>131</v>
      </c>
      <c r="G83" s="87">
        <f ca="1">IF(ROWS($1:70)&gt;COUNT(Dong1),"",IF(OFFSET(TH!L$1,SMALL(Dong1,ROWS($1:70)),)="1111",OFFSET(TH!K$1,SMALL(Dong1,ROWS($1:70)),),0))</f>
        <v>4451260</v>
      </c>
      <c r="H83" s="85">
        <f ca="1">IF(ROWS($1:70)&gt;COUNT(Dong1),"",IF(OFFSET(TH!M$1,SMALL(Dong1,ROWS($1:70)),)="1111",OFFSET(TH!K$1,SMALL(Dong1,ROWS($1:70)),),0))</f>
        <v>0</v>
      </c>
      <c r="I83" s="83">
        <f t="shared" ca="1" si="2"/>
        <v>1928429541</v>
      </c>
      <c r="J83" s="88"/>
    </row>
    <row r="84" spans="1:10" ht="21.75" customHeight="1">
      <c r="A84" s="82">
        <f ca="1">IF(ROWS($1:71)&gt;COUNT(Dong1),"",OFFSET(TH!C$1,SMALL(Dong1,ROWS($1:71)),))</f>
        <v>42719</v>
      </c>
      <c r="B84" s="82">
        <f ca="1">IF(ROWS($1:71)&gt;COUNT(Dong1),"",OFFSET(TH!E$1,SMALL(Dong1,ROWS($1:71)),))</f>
        <v>42719</v>
      </c>
      <c r="C84" s="83" t="str">
        <f ca="1">IF(ROWS($1:71)&gt;COUNT(Dong1),"",IF(OFFSET(TH!L$1,SMALL(Dong1,ROWS($1:71)),)="1111",OFFSET(TH!D$1,SMALL(Dong1,ROWS($1:71)),),""))</f>
        <v>T33</v>
      </c>
      <c r="D84" s="84" t="str">
        <f ca="1">IF(ROWS($1:71)&gt;COUNT(Dong1),"",IF(OFFSET(TH!M$1,SMALL(Dong1,ROWS($1:71)),)="1111",OFFSET(TH!D$1,SMALL(Dong1,ROWS($1:71)),),""))</f>
        <v/>
      </c>
      <c r="E84" s="128" t="str">
        <f ca="1">IF(ROWS($1:71)&gt;COUNT(Dong1),"",OFFSET(TH!F$1,SMALL(Dong1,ROWS($1:71)),))</f>
        <v>Thu tiền hàng</v>
      </c>
      <c r="F84" s="86" t="str">
        <f ca="1">IF(ROWS($1:71)&gt;COUNT(Dong1),"",IF(OFFSET(TH!M$1,SMALL(Dong1,ROWS($1:71)),)="1111",OFFSET(TH!L$1,SMALL(Dong1,ROWS($1:71)),),OFFSET(TH!M$1,SMALL(Dong1,ROWS($1:71)),)))</f>
        <v>131</v>
      </c>
      <c r="G84" s="87">
        <f ca="1">IF(ROWS($1:71)&gt;COUNT(Dong1),"",IF(OFFSET(TH!L$1,SMALL(Dong1,ROWS($1:71)),)="1111",OFFSET(TH!K$1,SMALL(Dong1,ROWS($1:71)),),0))</f>
        <v>19800000</v>
      </c>
      <c r="H84" s="85">
        <f ca="1">IF(ROWS($1:71)&gt;COUNT(Dong1),"",IF(OFFSET(TH!M$1,SMALL(Dong1,ROWS($1:71)),)="1111",OFFSET(TH!K$1,SMALL(Dong1,ROWS($1:71)),),0))</f>
        <v>0</v>
      </c>
      <c r="I84" s="83">
        <f t="shared" ca="1" si="2"/>
        <v>1948229541</v>
      </c>
      <c r="J84" s="88"/>
    </row>
    <row r="85" spans="1:10" ht="21.75" customHeight="1">
      <c r="A85" s="82">
        <f ca="1">IF(ROWS($1:72)&gt;COUNT(Dong1),"",OFFSET(TH!C$1,SMALL(Dong1,ROWS($1:72)),))</f>
        <v>42720</v>
      </c>
      <c r="B85" s="82">
        <f ca="1">IF(ROWS($1:72)&gt;COUNT(Dong1),"",OFFSET(TH!E$1,SMALL(Dong1,ROWS($1:72)),))</f>
        <v>42720</v>
      </c>
      <c r="C85" s="83" t="str">
        <f ca="1">IF(ROWS($1:72)&gt;COUNT(Dong1),"",IF(OFFSET(TH!L$1,SMALL(Dong1,ROWS($1:72)),)="1111",OFFSET(TH!D$1,SMALL(Dong1,ROWS($1:72)),),""))</f>
        <v>T34</v>
      </c>
      <c r="D85" s="84" t="str">
        <f ca="1">IF(ROWS($1:72)&gt;COUNT(Dong1),"",IF(OFFSET(TH!M$1,SMALL(Dong1,ROWS($1:72)),)="1111",OFFSET(TH!D$1,SMALL(Dong1,ROWS($1:72)),),""))</f>
        <v/>
      </c>
      <c r="E85" s="128" t="str">
        <f ca="1">IF(ROWS($1:72)&gt;COUNT(Dong1),"",OFFSET(TH!F$1,SMALL(Dong1,ROWS($1:72)),))</f>
        <v>Thu tiền hàng</v>
      </c>
      <c r="F85" s="86" t="str">
        <f ca="1">IF(ROWS($1:72)&gt;COUNT(Dong1),"",IF(OFFSET(TH!M$1,SMALL(Dong1,ROWS($1:72)),)="1111",OFFSET(TH!L$1,SMALL(Dong1,ROWS($1:72)),),OFFSET(TH!M$1,SMALL(Dong1,ROWS($1:72)),)))</f>
        <v>131</v>
      </c>
      <c r="G85" s="87">
        <f ca="1">IF(ROWS($1:72)&gt;COUNT(Dong1),"",IF(OFFSET(TH!L$1,SMALL(Dong1,ROWS($1:72)),)="1111",OFFSET(TH!K$1,SMALL(Dong1,ROWS($1:72)),),0))</f>
        <v>19800000</v>
      </c>
      <c r="H85" s="85">
        <f ca="1">IF(ROWS($1:72)&gt;COUNT(Dong1),"",IF(OFFSET(TH!M$1,SMALL(Dong1,ROWS($1:72)),)="1111",OFFSET(TH!K$1,SMALL(Dong1,ROWS($1:72)),),0))</f>
        <v>0</v>
      </c>
      <c r="I85" s="83">
        <f t="shared" ca="1" si="2"/>
        <v>1968029541</v>
      </c>
      <c r="J85" s="88"/>
    </row>
    <row r="86" spans="1:10" ht="21.75" customHeight="1">
      <c r="A86" s="82">
        <f ca="1">IF(ROWS($1:73)&gt;COUNT(Dong1),"",OFFSET(TH!C$1,SMALL(Dong1,ROWS($1:73)),))</f>
        <v>42721</v>
      </c>
      <c r="B86" s="82">
        <f ca="1">IF(ROWS($1:73)&gt;COUNT(Dong1),"",OFFSET(TH!E$1,SMALL(Dong1,ROWS($1:73)),))</f>
        <v>42721</v>
      </c>
      <c r="C86" s="83" t="str">
        <f ca="1">IF(ROWS($1:73)&gt;COUNT(Dong1),"",IF(OFFSET(TH!L$1,SMALL(Dong1,ROWS($1:73)),)="1111",OFFSET(TH!D$1,SMALL(Dong1,ROWS($1:73)),),""))</f>
        <v>T35</v>
      </c>
      <c r="D86" s="84" t="str">
        <f ca="1">IF(ROWS($1:73)&gt;COUNT(Dong1),"",IF(OFFSET(TH!M$1,SMALL(Dong1,ROWS($1:73)),)="1111",OFFSET(TH!D$1,SMALL(Dong1,ROWS($1:73)),),""))</f>
        <v/>
      </c>
      <c r="E86" s="128" t="str">
        <f ca="1">IF(ROWS($1:73)&gt;COUNT(Dong1),"",OFFSET(TH!F$1,SMALL(Dong1,ROWS($1:73)),))</f>
        <v>Thu tiền hàng</v>
      </c>
      <c r="F86" s="86" t="str">
        <f ca="1">IF(ROWS($1:73)&gt;COUNT(Dong1),"",IF(OFFSET(TH!M$1,SMALL(Dong1,ROWS($1:73)),)="1111",OFFSET(TH!L$1,SMALL(Dong1,ROWS($1:73)),),OFFSET(TH!M$1,SMALL(Dong1,ROWS($1:73)),)))</f>
        <v>131</v>
      </c>
      <c r="G86" s="87">
        <f ca="1">IF(ROWS($1:73)&gt;COUNT(Dong1),"",IF(OFFSET(TH!L$1,SMALL(Dong1,ROWS($1:73)),)="1111",OFFSET(TH!K$1,SMALL(Dong1,ROWS($1:73)),),0))</f>
        <v>19800000</v>
      </c>
      <c r="H86" s="85">
        <f ca="1">IF(ROWS($1:73)&gt;COUNT(Dong1),"",IF(OFFSET(TH!M$1,SMALL(Dong1,ROWS($1:73)),)="1111",OFFSET(TH!K$1,SMALL(Dong1,ROWS($1:73)),),0))</f>
        <v>0</v>
      </c>
      <c r="I86" s="83">
        <f t="shared" ca="1" si="2"/>
        <v>1987829541</v>
      </c>
      <c r="J86" s="88"/>
    </row>
    <row r="87" spans="1:10" ht="21.75" customHeight="1">
      <c r="A87" s="82">
        <f ca="1">IF(ROWS($1:74)&gt;COUNT(Dong1),"",OFFSET(TH!C$1,SMALL(Dong1,ROWS($1:74)),))</f>
        <v>42722</v>
      </c>
      <c r="B87" s="82">
        <f ca="1">IF(ROWS($1:74)&gt;COUNT(Dong1),"",OFFSET(TH!E$1,SMALL(Dong1,ROWS($1:74)),))</f>
        <v>42722</v>
      </c>
      <c r="C87" s="83" t="str">
        <f ca="1">IF(ROWS($1:74)&gt;COUNT(Dong1),"",IF(OFFSET(TH!L$1,SMALL(Dong1,ROWS($1:74)),)="1111",OFFSET(TH!D$1,SMALL(Dong1,ROWS($1:74)),),""))</f>
        <v>T36</v>
      </c>
      <c r="D87" s="84" t="str">
        <f ca="1">IF(ROWS($1:74)&gt;COUNT(Dong1),"",IF(OFFSET(TH!M$1,SMALL(Dong1,ROWS($1:74)),)="1111",OFFSET(TH!D$1,SMALL(Dong1,ROWS($1:74)),),""))</f>
        <v/>
      </c>
      <c r="E87" s="128" t="str">
        <f ca="1">IF(ROWS($1:74)&gt;COUNT(Dong1),"",OFFSET(TH!F$1,SMALL(Dong1,ROWS($1:74)),))</f>
        <v>Thu tiền hàng</v>
      </c>
      <c r="F87" s="86" t="str">
        <f ca="1">IF(ROWS($1:74)&gt;COUNT(Dong1),"",IF(OFFSET(TH!M$1,SMALL(Dong1,ROWS($1:74)),)="1111",OFFSET(TH!L$1,SMALL(Dong1,ROWS($1:74)),),OFFSET(TH!M$1,SMALL(Dong1,ROWS($1:74)),)))</f>
        <v>131</v>
      </c>
      <c r="G87" s="87">
        <f ca="1">IF(ROWS($1:74)&gt;COUNT(Dong1),"",IF(OFFSET(TH!L$1,SMALL(Dong1,ROWS($1:74)),)="1111",OFFSET(TH!K$1,SMALL(Dong1,ROWS($1:74)),),0))</f>
        <v>19800000</v>
      </c>
      <c r="H87" s="85">
        <f ca="1">IF(ROWS($1:74)&gt;COUNT(Dong1),"",IF(OFFSET(TH!M$1,SMALL(Dong1,ROWS($1:74)),)="1111",OFFSET(TH!K$1,SMALL(Dong1,ROWS($1:74)),),0))</f>
        <v>0</v>
      </c>
      <c r="I87" s="83">
        <f t="shared" ref="I87" ca="1" si="3">IF(E87&lt;&gt;"",I86+G87-H87,0)</f>
        <v>2007629541</v>
      </c>
      <c r="J87" s="88"/>
    </row>
    <row r="88" spans="1:10" ht="21.75" customHeight="1">
      <c r="A88" s="82">
        <f ca="1">IF(ROWS($1:75)&gt;COUNT(Dong1),"",OFFSET(TH!C$1,SMALL(Dong1,ROWS($1:75)),))</f>
        <v>42723</v>
      </c>
      <c r="B88" s="82">
        <f ca="1">IF(ROWS($1:75)&gt;COUNT(Dong1),"",OFFSET(TH!E$1,SMALL(Dong1,ROWS($1:75)),))</f>
        <v>42723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C27</v>
      </c>
      <c r="E88" s="128" t="str">
        <f ca="1">IF(ROWS($1:75)&gt;COUNT(Dong1),"",OFFSET(TH!F$1,SMALL(Dong1,ROWS($1:75)),))</f>
        <v>Thanh toán tiền hàng</v>
      </c>
      <c r="F88" s="86" t="str">
        <f ca="1">IF(ROWS($1:75)&gt;COUNT(Dong1),"",IF(OFFSET(TH!M$1,SMALL(Dong1,ROWS($1:75)),)="1111",OFFSET(TH!L$1,SMALL(Dong1,ROWS($1:75)),),OFFSET(TH!M$1,SMALL(Dong1,ROWS($1:75)),)))</f>
        <v>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6116000</v>
      </c>
      <c r="I88" s="83">
        <f t="shared" ref="I88:I115" ca="1" si="4">IF(E88&lt;&gt;"",I87+G88-H88,0)</f>
        <v>2001513541</v>
      </c>
      <c r="J88" s="88"/>
    </row>
    <row r="89" spans="1:10" ht="21.75" customHeight="1">
      <c r="A89" s="82">
        <f ca="1">IF(ROWS($1:76)&gt;COUNT(Dong1),"",OFFSET(TH!C$1,SMALL(Dong1,ROWS($1:76)),))</f>
        <v>42723</v>
      </c>
      <c r="B89" s="82">
        <f ca="1">IF(ROWS($1:76)&gt;COUNT(Dong1),"",OFFSET(TH!E$1,SMALL(Dong1,ROWS($1:76)),))</f>
        <v>42723</v>
      </c>
      <c r="C89" s="83" t="str">
        <f ca="1">IF(ROWS($1:76)&gt;COUNT(Dong1),"",IF(OFFSET(TH!L$1,SMALL(Dong1,ROWS($1:76)),)="1111",OFFSET(TH!D$1,SMALL(Dong1,ROWS($1:76)),),""))</f>
        <v/>
      </c>
      <c r="D89" s="84" t="str">
        <f ca="1">IF(ROWS($1:76)&gt;COUNT(Dong1),"",IF(OFFSET(TH!M$1,SMALL(Dong1,ROWS($1:76)),)="1111",OFFSET(TH!D$1,SMALL(Dong1,ROWS($1:76)),),""))</f>
        <v>C28</v>
      </c>
      <c r="E89" s="128" t="str">
        <f ca="1">IF(ROWS($1:76)&gt;COUNT(Dong1),"",OFFSET(TH!F$1,SMALL(Dong1,ROWS($1:76)),))</f>
        <v>Nộp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0</v>
      </c>
      <c r="H89" s="85">
        <f ca="1">IF(ROWS($1:76)&gt;COUNT(Dong1),"",IF(OFFSET(TH!M$1,SMALL(Dong1,ROWS($1:76)),)="1111",OFFSET(TH!K$1,SMALL(Dong1,ROWS($1:76)),),0))</f>
        <v>11400000</v>
      </c>
      <c r="I89" s="83">
        <f t="shared" ca="1" si="4"/>
        <v>1990113541</v>
      </c>
      <c r="J89" s="88"/>
    </row>
    <row r="90" spans="1:10" ht="21.75" customHeight="1">
      <c r="A90" s="82">
        <f ca="1">IF(ROWS($1:77)&gt;COUNT(Dong1),"",OFFSET(TH!C$1,SMALL(Dong1,ROWS($1:77)),))</f>
        <v>42723</v>
      </c>
      <c r="B90" s="82">
        <f ca="1">IF(ROWS($1:77)&gt;COUNT(Dong1),"",OFFSET(TH!E$1,SMALL(Dong1,ROWS($1:77)),))</f>
        <v>42723</v>
      </c>
      <c r="C90" s="83" t="str">
        <f ca="1">IF(ROWS($1:77)&gt;COUNT(Dong1),"",IF(OFFSET(TH!L$1,SMALL(Dong1,ROWS($1:77)),)="1111",OFFSET(TH!D$1,SMALL(Dong1,ROWS($1:77)),),""))</f>
        <v>T37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19800000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2009913541</v>
      </c>
      <c r="J90" s="88"/>
    </row>
    <row r="91" spans="1:10" ht="21.75" customHeight="1">
      <c r="A91" s="82">
        <f ca="1">IF(ROWS($1:78)&gt;COUNT(Dong1),"",OFFSET(TH!C$1,SMALL(Dong1,ROWS($1:78)),))</f>
        <v>42724</v>
      </c>
      <c r="B91" s="82">
        <f ca="1">IF(ROWS($1:78)&gt;COUNT(Dong1),"",OFFSET(TH!E$1,SMALL(Dong1,ROWS($1:78)),))</f>
        <v>42724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Nộp tiền mặt</v>
      </c>
      <c r="F91" s="86" t="str">
        <f ca="1">IF(ROWS($1:78)&gt;COUNT(Dong1),"",IF(OFFSET(TH!M$1,SMALL(Dong1,ROWS($1:78)),)="1111",OFFSET(TH!L$1,SMALL(Dong1,ROWS($1:78)),),OFFSET(TH!M$1,SMALL(Dong1,ROWS($1:78)),)))</f>
        <v>1121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30000000</v>
      </c>
      <c r="I91" s="83">
        <f t="shared" ca="1" si="4"/>
        <v>1979913541</v>
      </c>
      <c r="J91" s="88"/>
    </row>
    <row r="92" spans="1:10" ht="21.75" customHeight="1">
      <c r="A92" s="82">
        <f ca="1">IF(ROWS($1:79)&gt;COUNT(Dong1),"",OFFSET(TH!C$1,SMALL(Dong1,ROWS($1:79)),))</f>
        <v>42724</v>
      </c>
      <c r="B92" s="82">
        <f ca="1">IF(ROWS($1:79)&gt;COUNT(Dong1),"",OFFSET(TH!E$1,SMALL(Dong1,ROWS($1:79)),))</f>
        <v>42724</v>
      </c>
      <c r="C92" s="83" t="str">
        <f ca="1">IF(ROWS($1:79)&gt;COUNT(Dong1),"",IF(OFFSET(TH!L$1,SMALL(Dong1,ROWS($1:79)),)="1111",OFFSET(TH!D$1,SMALL(Dong1,ROWS($1:79)),),""))</f>
        <v>T38</v>
      </c>
      <c r="D92" s="84" t="str">
        <f ca="1">IF(ROWS($1:79)&gt;COUNT(Dong1),"",IF(OFFSET(TH!M$1,SMALL(Dong1,ROWS($1:79)),)="1111",OFFSET(TH!D$1,SMALL(Dong1,ROWS($1:79)),),""))</f>
        <v/>
      </c>
      <c r="E92" s="128" t="str">
        <f ca="1">IF(ROWS($1:79)&gt;COUNT(Dong1),"",OFFSET(TH!F$1,SMALL(Dong1,ROWS($1:79)),))</f>
        <v>Thu tiền hàng</v>
      </c>
      <c r="F92" s="86" t="str">
        <f ca="1">IF(ROWS($1:79)&gt;COUNT(Dong1),"",IF(OFFSET(TH!M$1,SMALL(Dong1,ROWS($1:79)),)="1111",OFFSET(TH!L$1,SMALL(Dong1,ROWS($1:79)),),OFFSET(TH!M$1,SMALL(Dong1,ROWS($1:79)),)))</f>
        <v>131</v>
      </c>
      <c r="G92" s="87">
        <f ca="1">IF(ROWS($1:79)&gt;COUNT(Dong1),"",IF(OFFSET(TH!L$1,SMALL(Dong1,ROWS($1:79)),)="1111",OFFSET(TH!K$1,SMALL(Dong1,ROWS($1:79)),),0))</f>
        <v>19800000</v>
      </c>
      <c r="H92" s="85">
        <f ca="1">IF(ROWS($1:79)&gt;COUNT(Dong1),"",IF(OFFSET(TH!M$1,SMALL(Dong1,ROWS($1:79)),)="1111",OFFSET(TH!K$1,SMALL(Dong1,ROWS($1:79)),),0))</f>
        <v>0</v>
      </c>
      <c r="I92" s="83">
        <f t="shared" ca="1" si="4"/>
        <v>1999713541</v>
      </c>
      <c r="J92" s="88"/>
    </row>
    <row r="93" spans="1:10" ht="21.75" customHeight="1">
      <c r="A93" s="82">
        <f ca="1">IF(ROWS($1:80)&gt;COUNT(Dong1),"",OFFSET(TH!C$1,SMALL(Dong1,ROWS($1:80)),))</f>
        <v>42725</v>
      </c>
      <c r="B93" s="82">
        <f ca="1">IF(ROWS($1:80)&gt;COUNT(Dong1),"",OFFSET(TH!E$1,SMALL(Dong1,ROWS($1:80)),))</f>
        <v>42725</v>
      </c>
      <c r="C93" s="83" t="str">
        <f ca="1">IF(ROWS($1:80)&gt;COUNT(Dong1),"",IF(OFFSET(TH!L$1,SMALL(Dong1,ROWS($1:80)),)="1111",OFFSET(TH!D$1,SMALL(Dong1,ROWS($1:80)),),""))</f>
        <v>T39</v>
      </c>
      <c r="D93" s="84" t="str">
        <f ca="1">IF(ROWS($1:80)&gt;COUNT(Dong1),"",IF(OFFSET(TH!M$1,SMALL(Dong1,ROWS($1:80)),)="1111",OFFSET(TH!D$1,SMALL(Dong1,ROWS($1:80)),),""))</f>
        <v/>
      </c>
      <c r="E93" s="128" t="str">
        <f ca="1">IF(ROWS($1:80)&gt;COUNT(Dong1),"",OFFSET(TH!F$1,SMALL(Dong1,ROWS($1:80)),))</f>
        <v>Thu tiền hàng</v>
      </c>
      <c r="F93" s="86" t="str">
        <f ca="1">IF(ROWS($1:80)&gt;COUNT(Dong1),"",IF(OFFSET(TH!M$1,SMALL(Dong1,ROWS($1:80)),)="1111",OFFSET(TH!L$1,SMALL(Dong1,ROWS($1:80)),),OFFSET(TH!M$1,SMALL(Dong1,ROWS($1:80)),)))</f>
        <v>131</v>
      </c>
      <c r="G93" s="87">
        <f ca="1">IF(ROWS($1:80)&gt;COUNT(Dong1),"",IF(OFFSET(TH!L$1,SMALL(Dong1,ROWS($1:80)),)="1111",OFFSET(TH!K$1,SMALL(Dong1,ROWS($1:80)),),0))</f>
        <v>19800000</v>
      </c>
      <c r="H93" s="85">
        <f ca="1">IF(ROWS($1:80)&gt;COUNT(Dong1),"",IF(OFFSET(TH!M$1,SMALL(Dong1,ROWS($1:80)),)="1111",OFFSET(TH!K$1,SMALL(Dong1,ROWS($1:80)),),0))</f>
        <v>0</v>
      </c>
      <c r="I93" s="83">
        <f t="shared" ca="1" si="4"/>
        <v>2019513541</v>
      </c>
      <c r="J93" s="88"/>
    </row>
    <row r="94" spans="1:10" ht="21.75" customHeight="1">
      <c r="A94" s="82">
        <f ca="1">IF(ROWS($1:81)&gt;COUNT(Dong1),"",OFFSET(TH!C$1,SMALL(Dong1,ROWS($1:81)),))</f>
        <v>42726</v>
      </c>
      <c r="B94" s="82">
        <f ca="1">IF(ROWS($1:81)&gt;COUNT(Dong1),"",OFFSET(TH!E$1,SMALL(Dong1,ROWS($1:81)),))</f>
        <v>42726</v>
      </c>
      <c r="C94" s="83" t="str">
        <f ca="1">IF(ROWS($1:81)&gt;COUNT(Dong1),"",IF(OFFSET(TH!L$1,SMALL(Dong1,ROWS($1:81)),)="1111",OFFSET(TH!D$1,SMALL(Dong1,ROWS($1:81)),),""))</f>
        <v>T40</v>
      </c>
      <c r="D94" s="84" t="str">
        <f ca="1">IF(ROWS($1:81)&gt;COUNT(Dong1),"",IF(OFFSET(TH!M$1,SMALL(Dong1,ROWS($1:81)),)="1111",OFFSET(TH!D$1,SMALL(Dong1,ROWS($1:81)),),""))</f>
        <v/>
      </c>
      <c r="E94" s="128" t="str">
        <f ca="1">IF(ROWS($1:81)&gt;COUNT(Dong1),"",OFFSET(TH!F$1,SMALL(Dong1,ROWS($1:81)),))</f>
        <v>Rút tiền mặt</v>
      </c>
      <c r="F94" s="86" t="str">
        <f ca="1">IF(ROWS($1:81)&gt;COUNT(Dong1),"",IF(OFFSET(TH!M$1,SMALL(Dong1,ROWS($1:81)),)="1111",OFFSET(TH!L$1,SMALL(Dong1,ROWS($1:81)),),OFFSET(TH!M$1,SMALL(Dong1,ROWS($1:81)),)))</f>
        <v>1121</v>
      </c>
      <c r="G94" s="87">
        <f ca="1">IF(ROWS($1:81)&gt;COUNT(Dong1),"",IF(OFFSET(TH!L$1,SMALL(Dong1,ROWS($1:81)),)="1111",OFFSET(TH!K$1,SMALL(Dong1,ROWS($1:81)),),0))</f>
        <v>11300000</v>
      </c>
      <c r="H94" s="85">
        <f ca="1">IF(ROWS($1:81)&gt;COUNT(Dong1),"",IF(OFFSET(TH!M$1,SMALL(Dong1,ROWS($1:81)),)="1111",OFFSET(TH!K$1,SMALL(Dong1,ROWS($1:81)),),0))</f>
        <v>0</v>
      </c>
      <c r="I94" s="83">
        <f t="shared" ca="1" si="4"/>
        <v>2030813541</v>
      </c>
      <c r="J94" s="88"/>
    </row>
    <row r="95" spans="1:10" ht="21.75" customHeight="1">
      <c r="A95" s="82">
        <f ca="1">IF(ROWS($1:82)&gt;COUNT(Dong1),"",OFFSET(TH!C$1,SMALL(Dong1,ROWS($1:82)),))</f>
        <v>42726</v>
      </c>
      <c r="B95" s="82">
        <f ca="1">IF(ROWS($1:82)&gt;COUNT(Dong1),"",OFFSET(TH!E$1,SMALL(Dong1,ROWS($1:82)),))</f>
        <v>42726</v>
      </c>
      <c r="C95" s="83" t="str">
        <f ca="1">IF(ROWS($1:82)&gt;COUNT(Dong1),"",IF(OFFSET(TH!L$1,SMALL(Dong1,ROWS($1:82)),)="1111",OFFSET(TH!D$1,SMALL(Dong1,ROWS($1:82)),),""))</f>
        <v>T41</v>
      </c>
      <c r="D95" s="84" t="str">
        <f ca="1">IF(ROWS($1:82)&gt;COUNT(Dong1),"",IF(OFFSET(TH!M$1,SMALL(Dong1,ROWS($1:82)),)="1111",OFFSET(TH!D$1,SMALL(Dong1,ROWS($1:82)),),""))</f>
        <v/>
      </c>
      <c r="E95" s="128" t="str">
        <f ca="1">IF(ROWS($1:82)&gt;COUNT(Dong1),"",OFFSET(TH!F$1,SMALL(Dong1,ROWS($1:82)),))</f>
        <v>Thu tiền hàng</v>
      </c>
      <c r="F95" s="86" t="str">
        <f ca="1">IF(ROWS($1:82)&gt;COUNT(Dong1),"",IF(OFFSET(TH!M$1,SMALL(Dong1,ROWS($1:82)),)="1111",OFFSET(TH!L$1,SMALL(Dong1,ROWS($1:82)),),OFFSET(TH!M$1,SMALL(Dong1,ROWS($1:82)),)))</f>
        <v>131</v>
      </c>
      <c r="G95" s="87">
        <f ca="1">IF(ROWS($1:82)&gt;COUNT(Dong1),"",IF(OFFSET(TH!L$1,SMALL(Dong1,ROWS($1:82)),)="1111",OFFSET(TH!K$1,SMALL(Dong1,ROWS($1:82)),),0))</f>
        <v>4537500</v>
      </c>
      <c r="H95" s="85">
        <f ca="1">IF(ROWS($1:82)&gt;COUNT(Dong1),"",IF(OFFSET(TH!M$1,SMALL(Dong1,ROWS($1:82)),)="1111",OFFSET(TH!K$1,SMALL(Dong1,ROWS($1:82)),),0))</f>
        <v>0</v>
      </c>
      <c r="I95" s="83">
        <f t="shared" ca="1" si="4"/>
        <v>2035351041</v>
      </c>
      <c r="J95" s="88"/>
    </row>
    <row r="96" spans="1:10" ht="21.75" customHeight="1">
      <c r="A96" s="82">
        <f ca="1">IF(ROWS($1:83)&gt;COUNT(Dong1),"",OFFSET(TH!C$1,SMALL(Dong1,ROWS($1:83)),))</f>
        <v>42727</v>
      </c>
      <c r="B96" s="82">
        <f ca="1">IF(ROWS($1:83)&gt;COUNT(Dong1),"",OFFSET(TH!E$1,SMALL(Dong1,ROWS($1:83)),))</f>
        <v>42727</v>
      </c>
      <c r="C96" s="83" t="str">
        <f ca="1">IF(ROWS($1:83)&gt;COUNT(Dong1),"",IF(OFFSET(TH!L$1,SMALL(Dong1,ROWS($1:83)),)="1111",OFFSET(TH!D$1,SMALL(Dong1,ROWS($1:83)),),""))</f>
        <v>T42</v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>Thu tiền hàng</v>
      </c>
      <c r="F96" s="86" t="str">
        <f ca="1">IF(ROWS($1:83)&gt;COUNT(Dong1),"",IF(OFFSET(TH!M$1,SMALL(Dong1,ROWS($1:83)),)="1111",OFFSET(TH!L$1,SMALL(Dong1,ROWS($1:83)),),OFFSET(TH!M$1,SMALL(Dong1,ROWS($1:83)),)))</f>
        <v>131</v>
      </c>
      <c r="G96" s="87">
        <f ca="1">IF(ROWS($1:83)&gt;COUNT(Dong1),"",IF(OFFSET(TH!L$1,SMALL(Dong1,ROWS($1:83)),)="1111",OFFSET(TH!K$1,SMALL(Dong1,ROWS($1:83)),),0))</f>
        <v>19800000</v>
      </c>
      <c r="H96" s="85">
        <f ca="1">IF(ROWS($1:83)&gt;COUNT(Dong1),"",IF(OFFSET(TH!M$1,SMALL(Dong1,ROWS($1:83)),)="1111",OFFSET(TH!K$1,SMALL(Dong1,ROWS($1:83)),),0))</f>
        <v>0</v>
      </c>
      <c r="I96" s="83">
        <f t="shared" ca="1" si="4"/>
        <v>2055151041</v>
      </c>
      <c r="J96" s="88"/>
    </row>
    <row r="97" spans="1:10" ht="21.75" customHeight="1">
      <c r="A97" s="82">
        <f ca="1">IF(ROWS($1:84)&gt;COUNT(Dong1),"",OFFSET(TH!C$1,SMALL(Dong1,ROWS($1:84)),))</f>
        <v>42728</v>
      </c>
      <c r="B97" s="82">
        <f ca="1">IF(ROWS($1:84)&gt;COUNT(Dong1),"",OFFSET(TH!E$1,SMALL(Dong1,ROWS($1:84)),))</f>
        <v>42728</v>
      </c>
      <c r="C97" s="83" t="str">
        <f ca="1">IF(ROWS($1:84)&gt;COUNT(Dong1),"",IF(OFFSET(TH!L$1,SMALL(Dong1,ROWS($1:84)),)="1111",OFFSET(TH!D$1,SMALL(Dong1,ROWS($1:84)),),""))</f>
        <v>T43</v>
      </c>
      <c r="D97" s="84" t="str">
        <f ca="1">IF(ROWS($1:84)&gt;COUNT(Dong1),"",IF(OFFSET(TH!M$1,SMALL(Dong1,ROWS($1:84)),)="1111",OFFSET(TH!D$1,SMALL(Dong1,ROWS($1:84)),),""))</f>
        <v/>
      </c>
      <c r="E97" s="128" t="str">
        <f ca="1">IF(ROWS($1:84)&gt;COUNT(Dong1),"",OFFSET(TH!F$1,SMALL(Dong1,ROWS($1:84)),))</f>
        <v>Thu tiền hàng</v>
      </c>
      <c r="F97" s="86" t="str">
        <f ca="1">IF(ROWS($1:84)&gt;COUNT(Dong1),"",IF(OFFSET(TH!M$1,SMALL(Dong1,ROWS($1:84)),)="1111",OFFSET(TH!L$1,SMALL(Dong1,ROWS($1:84)),),OFFSET(TH!M$1,SMALL(Dong1,ROWS($1:84)),)))</f>
        <v>131</v>
      </c>
      <c r="G97" s="87">
        <f ca="1">IF(ROWS($1:84)&gt;COUNT(Dong1),"",IF(OFFSET(TH!L$1,SMALL(Dong1,ROWS($1:84)),)="1111",OFFSET(TH!K$1,SMALL(Dong1,ROWS($1:84)),),0))</f>
        <v>19800000</v>
      </c>
      <c r="H97" s="85">
        <f ca="1">IF(ROWS($1:84)&gt;COUNT(Dong1),"",IF(OFFSET(TH!M$1,SMALL(Dong1,ROWS($1:84)),)="1111",OFFSET(TH!K$1,SMALL(Dong1,ROWS($1:84)),),0))</f>
        <v>0</v>
      </c>
      <c r="I97" s="83">
        <f t="shared" ca="1" si="4"/>
        <v>2074951041</v>
      </c>
      <c r="J97" s="88"/>
    </row>
    <row r="98" spans="1:10" ht="21.75" customHeight="1">
      <c r="A98" s="82">
        <f ca="1">IF(ROWS($1:85)&gt;COUNT(Dong1),"",OFFSET(TH!C$1,SMALL(Dong1,ROWS($1:85)),))</f>
        <v>42729</v>
      </c>
      <c r="B98" s="82">
        <f ca="1">IF(ROWS($1:85)&gt;COUNT(Dong1),"",OFFSET(TH!E$1,SMALL(Dong1,ROWS($1:85)),))</f>
        <v>42729</v>
      </c>
      <c r="C98" s="83" t="str">
        <f ca="1">IF(ROWS($1:85)&gt;COUNT(Dong1),"",IF(OFFSET(TH!L$1,SMALL(Dong1,ROWS($1:85)),)="1111",OFFSET(TH!D$1,SMALL(Dong1,ROWS($1:85)),),""))</f>
        <v>T44</v>
      </c>
      <c r="D98" s="84" t="str">
        <f ca="1">IF(ROWS($1:85)&gt;COUNT(Dong1),"",IF(OFFSET(TH!M$1,SMALL(Dong1,ROWS($1:85)),)="1111",OFFSET(TH!D$1,SMALL(Dong1,ROWS($1:85)),),""))</f>
        <v/>
      </c>
      <c r="E98" s="128" t="str">
        <f ca="1">IF(ROWS($1:85)&gt;COUNT(Dong1),"",OFFSET(TH!F$1,SMALL(Dong1,ROWS($1:85)),))</f>
        <v>Thu tiền hàng</v>
      </c>
      <c r="F98" s="86" t="str">
        <f ca="1">IF(ROWS($1:85)&gt;COUNT(Dong1),"",IF(OFFSET(TH!M$1,SMALL(Dong1,ROWS($1:85)),)="1111",OFFSET(TH!L$1,SMALL(Dong1,ROWS($1:85)),),OFFSET(TH!M$1,SMALL(Dong1,ROWS($1:85)),)))</f>
        <v>131</v>
      </c>
      <c r="G98" s="87">
        <f ca="1">IF(ROWS($1:85)&gt;COUNT(Dong1),"",IF(OFFSET(TH!L$1,SMALL(Dong1,ROWS($1:85)),)="1111",OFFSET(TH!K$1,SMALL(Dong1,ROWS($1:85)),),0))</f>
        <v>19800000</v>
      </c>
      <c r="H98" s="85">
        <f ca="1">IF(ROWS($1:85)&gt;COUNT(Dong1),"",IF(OFFSET(TH!M$1,SMALL(Dong1,ROWS($1:85)),)="1111",OFFSET(TH!K$1,SMALL(Dong1,ROWS($1:85)),),0))</f>
        <v>0</v>
      </c>
      <c r="I98" s="83">
        <f t="shared" ca="1" si="4"/>
        <v>2094751041</v>
      </c>
      <c r="J98" s="88"/>
    </row>
    <row r="99" spans="1:10" ht="21.75" customHeight="1">
      <c r="A99" s="82">
        <f ca="1">IF(ROWS($1:86)&gt;COUNT(Dong1),"",OFFSET(TH!C$1,SMALL(Dong1,ROWS($1:86)),))</f>
        <v>42730</v>
      </c>
      <c r="B99" s="82">
        <f ca="1">IF(ROWS($1:86)&gt;COUNT(Dong1),"",OFFSET(TH!E$1,SMALL(Dong1,ROWS($1:86)),))</f>
        <v>42730</v>
      </c>
      <c r="C99" s="83" t="str">
        <f ca="1">IF(ROWS($1:86)&gt;COUNT(Dong1),"",IF(OFFSET(TH!L$1,SMALL(Dong1,ROWS($1:86)),)="1111",OFFSET(TH!D$1,SMALL(Dong1,ROWS($1:86)),),""))</f>
        <v/>
      </c>
      <c r="D99" s="84" t="str">
        <f ca="1">IF(ROWS($1:86)&gt;COUNT(Dong1),"",IF(OFFSET(TH!M$1,SMALL(Dong1,ROWS($1:86)),)="1111",OFFSET(TH!D$1,SMALL(Dong1,ROWS($1:86)),),""))</f>
        <v>C30</v>
      </c>
      <c r="E99" s="128" t="str">
        <f ca="1">IF(ROWS($1:86)&gt;COUNT(Dong1),"",OFFSET(TH!F$1,SMALL(Dong1,ROWS($1:86)),))</f>
        <v>Dầu DO</v>
      </c>
      <c r="F99" s="86" t="str">
        <f ca="1">IF(ROWS($1:86)&gt;COUNT(Dong1),"",IF(OFFSET(TH!M$1,SMALL(Dong1,ROWS($1:86)),)="1111",OFFSET(TH!L$1,SMALL(Dong1,ROWS($1:86)),),OFFSET(TH!M$1,SMALL(Dong1,ROWS($1:86)),)))</f>
        <v>641</v>
      </c>
      <c r="G99" s="87">
        <f ca="1">IF(ROWS($1:86)&gt;COUNT(Dong1),"",IF(OFFSET(TH!L$1,SMALL(Dong1,ROWS($1:86)),)="1111",OFFSET(TH!K$1,SMALL(Dong1,ROWS($1:86)),),0))</f>
        <v>0</v>
      </c>
      <c r="H99" s="85">
        <f ca="1">IF(ROWS($1:86)&gt;COUNT(Dong1),"",IF(OFFSET(TH!M$1,SMALL(Dong1,ROWS($1:86)),)="1111",OFFSET(TH!K$1,SMALL(Dong1,ROWS($1:86)),),0))</f>
        <v>5005727</v>
      </c>
      <c r="I99" s="83">
        <f t="shared" ca="1" si="4"/>
        <v>2089745314</v>
      </c>
      <c r="J99" s="88"/>
    </row>
    <row r="100" spans="1:10" ht="21.75" customHeight="1">
      <c r="A100" s="82">
        <f ca="1">IF(ROWS($1:87)&gt;COUNT(Dong1),"",OFFSET(TH!C$1,SMALL(Dong1,ROWS($1:87)),))</f>
        <v>42730</v>
      </c>
      <c r="B100" s="82">
        <f ca="1">IF(ROWS($1:87)&gt;COUNT(Dong1),"",OFFSET(TH!E$1,SMALL(Dong1,ROWS($1:87)),))</f>
        <v>42730</v>
      </c>
      <c r="C100" s="83" t="str">
        <f ca="1">IF(ROWS($1:87)&gt;COUNT(Dong1),"",IF(OFFSET(TH!L$1,SMALL(Dong1,ROWS($1:87)),)="1111",OFFSET(TH!D$1,SMALL(Dong1,ROWS($1:87)),),""))</f>
        <v/>
      </c>
      <c r="D100" s="84" t="str">
        <f ca="1">IF(ROWS($1:87)&gt;COUNT(Dong1),"",IF(OFFSET(TH!M$1,SMALL(Dong1,ROWS($1:87)),)="1111",OFFSET(TH!D$1,SMALL(Dong1,ROWS($1:87)),),""))</f>
        <v>C30</v>
      </c>
      <c r="E100" s="128" t="str">
        <f ca="1">IF(ROWS($1:87)&gt;COUNT(Dong1),"",OFFSET(TH!F$1,SMALL(Dong1,ROWS($1:87)),))</f>
        <v>VAT Dầu DO</v>
      </c>
      <c r="F100" s="86" t="str">
        <f ca="1">IF(ROWS($1:87)&gt;COUNT(Dong1),"",IF(OFFSET(TH!M$1,SMALL(Dong1,ROWS($1:87)),)="1111",OFFSET(TH!L$1,SMALL(Dong1,ROWS($1:87)),),OFFSET(TH!M$1,SMALL(Dong1,ROWS($1:87)),)))</f>
        <v>1331</v>
      </c>
      <c r="G100" s="87">
        <f ca="1">IF(ROWS($1:87)&gt;COUNT(Dong1),"",IF(OFFSET(TH!L$1,SMALL(Dong1,ROWS($1:87)),)="1111",OFFSET(TH!K$1,SMALL(Dong1,ROWS($1:87)),),0))</f>
        <v>0</v>
      </c>
      <c r="H100" s="85">
        <f ca="1">IF(ROWS($1:87)&gt;COUNT(Dong1),"",IF(OFFSET(TH!M$1,SMALL(Dong1,ROWS($1:87)),)="1111",OFFSET(TH!K$1,SMALL(Dong1,ROWS($1:87)),),0))</f>
        <v>500573</v>
      </c>
      <c r="I100" s="83">
        <f t="shared" ca="1" si="4"/>
        <v>2089244741</v>
      </c>
      <c r="J100" s="88"/>
    </row>
    <row r="101" spans="1:10" ht="21.75" customHeight="1">
      <c r="A101" s="82">
        <f ca="1">IF(ROWS($1:88)&gt;COUNT(Dong1),"",OFFSET(TH!C$1,SMALL(Dong1,ROWS($1:88)),))</f>
        <v>42730</v>
      </c>
      <c r="B101" s="82">
        <f ca="1">IF(ROWS($1:88)&gt;COUNT(Dong1),"",OFFSET(TH!E$1,SMALL(Dong1,ROWS($1:88)),))</f>
        <v>42730</v>
      </c>
      <c r="C101" s="83" t="str">
        <f ca="1">IF(ROWS($1:88)&gt;COUNT(Dong1),"",IF(OFFSET(TH!L$1,SMALL(Dong1,ROWS($1:88)),)="1111",OFFSET(TH!D$1,SMALL(Dong1,ROWS($1:88)),),""))</f>
        <v/>
      </c>
      <c r="D101" s="84" t="str">
        <f ca="1">IF(ROWS($1:88)&gt;COUNT(Dong1),"",IF(OFFSET(TH!M$1,SMALL(Dong1,ROWS($1:88)),)="1111",OFFSET(TH!D$1,SMALL(Dong1,ROWS($1:88)),),""))</f>
        <v>C31</v>
      </c>
      <c r="E101" s="128" t="str">
        <f ca="1">IF(ROWS($1:88)&gt;COUNT(Dong1),"",OFFSET(TH!F$1,SMALL(Dong1,ROWS($1:88)),))</f>
        <v>Thanh toán tiền hàng</v>
      </c>
      <c r="F101" s="86" t="str">
        <f ca="1">IF(ROWS($1:88)&gt;COUNT(Dong1),"",IF(OFFSET(TH!M$1,SMALL(Dong1,ROWS($1:88)),)="1111",OFFSET(TH!L$1,SMALL(Dong1,ROWS($1:88)),),OFFSET(TH!M$1,SMALL(Dong1,ROWS($1:88)),)))</f>
        <v>331</v>
      </c>
      <c r="G101" s="87">
        <f ca="1">IF(ROWS($1:88)&gt;COUNT(Dong1),"",IF(OFFSET(TH!L$1,SMALL(Dong1,ROWS($1:88)),)="1111",OFFSET(TH!K$1,SMALL(Dong1,ROWS($1:88)),),0))</f>
        <v>0</v>
      </c>
      <c r="H101" s="85">
        <f ca="1">IF(ROWS($1:88)&gt;COUNT(Dong1),"",IF(OFFSET(TH!M$1,SMALL(Dong1,ROWS($1:88)),)="1111",OFFSET(TH!K$1,SMALL(Dong1,ROWS($1:88)),),0))</f>
        <v>10340000</v>
      </c>
      <c r="I101" s="83">
        <f t="shared" ca="1" si="4"/>
        <v>2078904741</v>
      </c>
      <c r="J101" s="88"/>
    </row>
    <row r="102" spans="1:10" ht="21.75" customHeight="1">
      <c r="A102" s="82">
        <f ca="1">IF(ROWS($1:89)&gt;COUNT(Dong1),"",OFFSET(TH!C$1,SMALL(Dong1,ROWS($1:89)),))</f>
        <v>42730</v>
      </c>
      <c r="B102" s="82">
        <f ca="1">IF(ROWS($1:89)&gt;COUNT(Dong1),"",OFFSET(TH!E$1,SMALL(Dong1,ROWS($1:89)),))</f>
        <v>42730</v>
      </c>
      <c r="C102" s="83" t="str">
        <f ca="1">IF(ROWS($1:89)&gt;COUNT(Dong1),"",IF(OFFSET(TH!L$1,SMALL(Dong1,ROWS($1:89)),)="1111",OFFSET(TH!D$1,SMALL(Dong1,ROWS($1:89)),),""))</f>
        <v>T45</v>
      </c>
      <c r="D102" s="84" t="str">
        <f ca="1">IF(ROWS($1:89)&gt;COUNT(Dong1),"",IF(OFFSET(TH!M$1,SMALL(Dong1,ROWS($1:89)),)="1111",OFFSET(TH!D$1,SMALL(Dong1,ROWS($1:89)),),""))</f>
        <v/>
      </c>
      <c r="E102" s="128" t="str">
        <f ca="1">IF(ROWS($1:89)&gt;COUNT(Dong1),"",OFFSET(TH!F$1,SMALL(Dong1,ROWS($1:89)),))</f>
        <v>Thu tiền hàng</v>
      </c>
      <c r="F102" s="86" t="str">
        <f ca="1">IF(ROWS($1:89)&gt;COUNT(Dong1),"",IF(OFFSET(TH!M$1,SMALL(Dong1,ROWS($1:89)),)="1111",OFFSET(TH!L$1,SMALL(Dong1,ROWS($1:89)),),OFFSET(TH!M$1,SMALL(Dong1,ROWS($1:89)),)))</f>
        <v>131</v>
      </c>
      <c r="G102" s="87">
        <f ca="1">IF(ROWS($1:89)&gt;COUNT(Dong1),"",IF(OFFSET(TH!L$1,SMALL(Dong1,ROWS($1:89)),)="1111",OFFSET(TH!K$1,SMALL(Dong1,ROWS($1:89)),),0))</f>
        <v>9900000</v>
      </c>
      <c r="H102" s="85">
        <f ca="1">IF(ROWS($1:89)&gt;COUNT(Dong1),"",IF(OFFSET(TH!M$1,SMALL(Dong1,ROWS($1:89)),)="1111",OFFSET(TH!K$1,SMALL(Dong1,ROWS($1:89)),),0))</f>
        <v>0</v>
      </c>
      <c r="I102" s="83">
        <f t="shared" ca="1" si="4"/>
        <v>2088804741</v>
      </c>
      <c r="J102" s="88"/>
    </row>
    <row r="103" spans="1:10" ht="21.75" customHeight="1">
      <c r="A103" s="82">
        <f ca="1">IF(ROWS($1:90)&gt;COUNT(Dong1),"",OFFSET(TH!C$1,SMALL(Dong1,ROWS($1:90)),))</f>
        <v>42731</v>
      </c>
      <c r="B103" s="82">
        <f ca="1">IF(ROWS($1:90)&gt;COUNT(Dong1),"",OFFSET(TH!E$1,SMALL(Dong1,ROWS($1:90)),))</f>
        <v>42731</v>
      </c>
      <c r="C103" s="83" t="str">
        <f ca="1">IF(ROWS($1:90)&gt;COUNT(Dong1),"",IF(OFFSET(TH!L$1,SMALL(Dong1,ROWS($1:90)),)="1111",OFFSET(TH!D$1,SMALL(Dong1,ROWS($1:90)),),""))</f>
        <v/>
      </c>
      <c r="D103" s="84" t="str">
        <f ca="1">IF(ROWS($1:90)&gt;COUNT(Dong1),"",IF(OFFSET(TH!M$1,SMALL(Dong1,ROWS($1:90)),)="1111",OFFSET(TH!D$1,SMALL(Dong1,ROWS($1:90)),),""))</f>
        <v>C32</v>
      </c>
      <c r="E103" s="128" t="str">
        <f ca="1">IF(ROWS($1:90)&gt;COUNT(Dong1),"",OFFSET(TH!F$1,SMALL(Dong1,ROWS($1:90)),))</f>
        <v>Thanh toán tiền hàng</v>
      </c>
      <c r="F103" s="86" t="str">
        <f ca="1">IF(ROWS($1:90)&gt;COUNT(Dong1),"",IF(OFFSET(TH!M$1,SMALL(Dong1,ROWS($1:90)),)="1111",OFFSET(TH!L$1,SMALL(Dong1,ROWS($1:90)),),OFFSET(TH!M$1,SMALL(Dong1,ROWS($1:90)),)))</f>
        <v>331</v>
      </c>
      <c r="G103" s="87">
        <f ca="1">IF(ROWS($1:90)&gt;COUNT(Dong1),"",IF(OFFSET(TH!L$1,SMALL(Dong1,ROWS($1:90)),)="1111",OFFSET(TH!K$1,SMALL(Dong1,ROWS($1:90)),),0))</f>
        <v>0</v>
      </c>
      <c r="H103" s="85">
        <f ca="1">IF(ROWS($1:90)&gt;COUNT(Dong1),"",IF(OFFSET(TH!M$1,SMALL(Dong1,ROWS($1:90)),)="1111",OFFSET(TH!K$1,SMALL(Dong1,ROWS($1:90)),),0))</f>
        <v>19800000</v>
      </c>
      <c r="I103" s="83">
        <f t="shared" ca="1" si="4"/>
        <v>2069004741</v>
      </c>
      <c r="J103" s="88"/>
    </row>
    <row r="104" spans="1:10" ht="21.75" customHeight="1">
      <c r="A104" s="82">
        <f ca="1">IF(ROWS($1:91)&gt;COUNT(Dong1),"",OFFSET(TH!C$1,SMALL(Dong1,ROWS($1:91)),))</f>
        <v>42731</v>
      </c>
      <c r="B104" s="82">
        <f ca="1">IF(ROWS($1:91)&gt;COUNT(Dong1),"",OFFSET(TH!E$1,SMALL(Dong1,ROWS($1:91)),))</f>
        <v>42731</v>
      </c>
      <c r="C104" s="83" t="str">
        <f ca="1">IF(ROWS($1:91)&gt;COUNT(Dong1),"",IF(OFFSET(TH!L$1,SMALL(Dong1,ROWS($1:91)),)="1111",OFFSET(TH!D$1,SMALL(Dong1,ROWS($1:91)),),""))</f>
        <v>T46</v>
      </c>
      <c r="D104" s="84" t="str">
        <f ca="1">IF(ROWS($1:91)&gt;COUNT(Dong1),"",IF(OFFSET(TH!M$1,SMALL(Dong1,ROWS($1:91)),)="1111",OFFSET(TH!D$1,SMALL(Dong1,ROWS($1:91)),),""))</f>
        <v/>
      </c>
      <c r="E104" s="128" t="str">
        <f ca="1">IF(ROWS($1:91)&gt;COUNT(Dong1),"",OFFSET(TH!F$1,SMALL(Dong1,ROWS($1:91)),))</f>
        <v>Thu tiền hàng</v>
      </c>
      <c r="F104" s="86" t="str">
        <f ca="1">IF(ROWS($1:91)&gt;COUNT(Dong1),"",IF(OFFSET(TH!M$1,SMALL(Dong1,ROWS($1:91)),)="1111",OFFSET(TH!L$1,SMALL(Dong1,ROWS($1:91)),),OFFSET(TH!M$1,SMALL(Dong1,ROWS($1:91)),)))</f>
        <v>131</v>
      </c>
      <c r="G104" s="87">
        <f ca="1">IF(ROWS($1:91)&gt;COUNT(Dong1),"",IF(OFFSET(TH!L$1,SMALL(Dong1,ROWS($1:91)),)="1111",OFFSET(TH!K$1,SMALL(Dong1,ROWS($1:91)),),0))</f>
        <v>11385000</v>
      </c>
      <c r="H104" s="85">
        <f ca="1">IF(ROWS($1:91)&gt;COUNT(Dong1),"",IF(OFFSET(TH!M$1,SMALL(Dong1,ROWS($1:91)),)="1111",OFFSET(TH!K$1,SMALL(Dong1,ROWS($1:91)),),0))</f>
        <v>0</v>
      </c>
      <c r="I104" s="83">
        <f t="shared" ca="1" si="4"/>
        <v>2080389741</v>
      </c>
      <c r="J104" s="88"/>
    </row>
    <row r="105" spans="1:10" ht="21.75" customHeight="1">
      <c r="A105" s="82">
        <f ca="1">IF(ROWS($1:92)&gt;COUNT(Dong1),"",OFFSET(TH!C$1,SMALL(Dong1,ROWS($1:92)),))</f>
        <v>42732</v>
      </c>
      <c r="B105" s="82">
        <f ca="1">IF(ROWS($1:92)&gt;COUNT(Dong1),"",OFFSET(TH!E$1,SMALL(Dong1,ROWS($1:92)),))</f>
        <v>42732</v>
      </c>
      <c r="C105" s="83" t="str">
        <f ca="1">IF(ROWS($1:92)&gt;COUNT(Dong1),"",IF(OFFSET(TH!L$1,SMALL(Dong1,ROWS($1:92)),)="1111",OFFSET(TH!D$1,SMALL(Dong1,ROWS($1:92)),),""))</f>
        <v/>
      </c>
      <c r="D105" s="84" t="str">
        <f ca="1">IF(ROWS($1:92)&gt;COUNT(Dong1),"",IF(OFFSET(TH!M$1,SMALL(Dong1,ROWS($1:92)),)="1111",OFFSET(TH!D$1,SMALL(Dong1,ROWS($1:92)),),""))</f>
        <v>C33</v>
      </c>
      <c r="E105" s="128" t="str">
        <f ca="1">IF(ROWS($1:92)&gt;COUNT(Dong1),"",OFFSET(TH!F$1,SMALL(Dong1,ROWS($1:92)),))</f>
        <v>Thanh toán tiền hàng</v>
      </c>
      <c r="F105" s="86" t="str">
        <f ca="1">IF(ROWS($1:92)&gt;COUNT(Dong1),"",IF(OFFSET(TH!M$1,SMALL(Dong1,ROWS($1:92)),)="1111",OFFSET(TH!L$1,SMALL(Dong1,ROWS($1:92)),),OFFSET(TH!M$1,SMALL(Dong1,ROWS($1:92)),)))</f>
        <v>331</v>
      </c>
      <c r="G105" s="87">
        <f ca="1">IF(ROWS($1:92)&gt;COUNT(Dong1),"",IF(OFFSET(TH!L$1,SMALL(Dong1,ROWS($1:92)),)="1111",OFFSET(TH!K$1,SMALL(Dong1,ROWS($1:92)),),0))</f>
        <v>0</v>
      </c>
      <c r="H105" s="85">
        <f ca="1">IF(ROWS($1:92)&gt;COUNT(Dong1),"",IF(OFFSET(TH!M$1,SMALL(Dong1,ROWS($1:92)),)="1111",OFFSET(TH!K$1,SMALL(Dong1,ROWS($1:92)),),0))</f>
        <v>17344800</v>
      </c>
      <c r="I105" s="83">
        <f t="shared" ca="1" si="4"/>
        <v>2063044941</v>
      </c>
      <c r="J105" s="88"/>
    </row>
    <row r="106" spans="1:10" ht="21.75" customHeight="1">
      <c r="A106" s="82">
        <f ca="1">IF(ROWS($1:93)&gt;COUNT(Dong1),"",OFFSET(TH!C$1,SMALL(Dong1,ROWS($1:93)),))</f>
        <v>42732</v>
      </c>
      <c r="B106" s="82">
        <f ca="1">IF(ROWS($1:93)&gt;COUNT(Dong1),"",OFFSET(TH!E$1,SMALL(Dong1,ROWS($1:93)),))</f>
        <v>42732</v>
      </c>
      <c r="C106" s="83" t="str">
        <f ca="1">IF(ROWS($1:93)&gt;COUNT(Dong1),"",IF(OFFSET(TH!L$1,SMALL(Dong1,ROWS($1:93)),)="1111",OFFSET(TH!D$1,SMALL(Dong1,ROWS($1:93)),),""))</f>
        <v>T47</v>
      </c>
      <c r="D106" s="84" t="str">
        <f ca="1">IF(ROWS($1:93)&gt;COUNT(Dong1),"",IF(OFFSET(TH!M$1,SMALL(Dong1,ROWS($1:93)),)="1111",OFFSET(TH!D$1,SMALL(Dong1,ROWS($1:93)),),""))</f>
        <v/>
      </c>
      <c r="E106" s="128" t="str">
        <f ca="1">IF(ROWS($1:93)&gt;COUNT(Dong1),"",OFFSET(TH!F$1,SMALL(Dong1,ROWS($1:93)),))</f>
        <v>Rút tiền mặt</v>
      </c>
      <c r="F106" s="86" t="str">
        <f ca="1">IF(ROWS($1:93)&gt;COUNT(Dong1),"",IF(OFFSET(TH!M$1,SMALL(Dong1,ROWS($1:93)),)="1111",OFFSET(TH!L$1,SMALL(Dong1,ROWS($1:93)),),OFFSET(TH!M$1,SMALL(Dong1,ROWS($1:93)),)))</f>
        <v>1121</v>
      </c>
      <c r="G106" s="87">
        <f ca="1">IF(ROWS($1:93)&gt;COUNT(Dong1),"",IF(OFFSET(TH!L$1,SMALL(Dong1,ROWS($1:93)),)="1111",OFFSET(TH!K$1,SMALL(Dong1,ROWS($1:93)),),0))</f>
        <v>5500000</v>
      </c>
      <c r="H106" s="85">
        <f ca="1">IF(ROWS($1:93)&gt;COUNT(Dong1),"",IF(OFFSET(TH!M$1,SMALL(Dong1,ROWS($1:93)),)="1111",OFFSET(TH!K$1,SMALL(Dong1,ROWS($1:93)),),0))</f>
        <v>0</v>
      </c>
      <c r="I106" s="83">
        <f t="shared" ca="1" si="4"/>
        <v>2068544941</v>
      </c>
      <c r="J106" s="88"/>
    </row>
    <row r="107" spans="1:10" ht="21.75" customHeight="1">
      <c r="A107" s="82">
        <f ca="1">IF(ROWS($1:94)&gt;COUNT(Dong1),"",OFFSET(TH!C$1,SMALL(Dong1,ROWS($1:94)),))</f>
        <v>42732</v>
      </c>
      <c r="B107" s="82">
        <f ca="1">IF(ROWS($1:94)&gt;COUNT(Dong1),"",OFFSET(TH!E$1,SMALL(Dong1,ROWS($1:94)),))</f>
        <v>42732</v>
      </c>
      <c r="C107" s="83" t="str">
        <f ca="1">IF(ROWS($1:94)&gt;COUNT(Dong1),"",IF(OFFSET(TH!L$1,SMALL(Dong1,ROWS($1:94)),)="1111",OFFSET(TH!D$1,SMALL(Dong1,ROWS($1:94)),),""))</f>
        <v>T48</v>
      </c>
      <c r="D107" s="84" t="str">
        <f ca="1">IF(ROWS($1:94)&gt;COUNT(Dong1),"",IF(OFFSET(TH!M$1,SMALL(Dong1,ROWS($1:94)),)="1111",OFFSET(TH!D$1,SMALL(Dong1,ROWS($1:94)),),""))</f>
        <v/>
      </c>
      <c r="E107" s="128" t="str">
        <f ca="1">IF(ROWS($1:94)&gt;COUNT(Dong1),"",OFFSET(TH!F$1,SMALL(Dong1,ROWS($1:94)),))</f>
        <v>Thu tiền hàng</v>
      </c>
      <c r="F107" s="86" t="str">
        <f ca="1">IF(ROWS($1:94)&gt;COUNT(Dong1),"",IF(OFFSET(TH!M$1,SMALL(Dong1,ROWS($1:94)),)="1111",OFFSET(TH!L$1,SMALL(Dong1,ROWS($1:94)),),OFFSET(TH!M$1,SMALL(Dong1,ROWS($1:94)),)))</f>
        <v>131</v>
      </c>
      <c r="G107" s="87">
        <f ca="1">IF(ROWS($1:94)&gt;COUNT(Dong1),"",IF(OFFSET(TH!L$1,SMALL(Dong1,ROWS($1:94)),)="1111",OFFSET(TH!K$1,SMALL(Dong1,ROWS($1:94)),),0))</f>
        <v>16747500</v>
      </c>
      <c r="H107" s="85">
        <f ca="1">IF(ROWS($1:94)&gt;COUNT(Dong1),"",IF(OFFSET(TH!M$1,SMALL(Dong1,ROWS($1:94)),)="1111",OFFSET(TH!K$1,SMALL(Dong1,ROWS($1:94)),),0))</f>
        <v>0</v>
      </c>
      <c r="I107" s="83">
        <f t="shared" ca="1" si="4"/>
        <v>2085292441</v>
      </c>
      <c r="J107" s="88"/>
    </row>
    <row r="108" spans="1:10" ht="21.75" customHeight="1">
      <c r="A108" s="82">
        <f ca="1">IF(ROWS($1:95)&gt;COUNT(Dong1),"",OFFSET(TH!C$1,SMALL(Dong1,ROWS($1:95)),))</f>
        <v>42733</v>
      </c>
      <c r="B108" s="82">
        <f ca="1">IF(ROWS($1:95)&gt;COUNT(Dong1),"",OFFSET(TH!E$1,SMALL(Dong1,ROWS($1:95)),))</f>
        <v>42733</v>
      </c>
      <c r="C108" s="83" t="str">
        <f ca="1">IF(ROWS($1:95)&gt;COUNT(Dong1),"",IF(OFFSET(TH!L$1,SMALL(Dong1,ROWS($1:95)),)="1111",OFFSET(TH!D$1,SMALL(Dong1,ROWS($1:95)),),""))</f>
        <v/>
      </c>
      <c r="D108" s="84" t="str">
        <f ca="1">IF(ROWS($1:95)&gt;COUNT(Dong1),"",IF(OFFSET(TH!M$1,SMALL(Dong1,ROWS($1:95)),)="1111",OFFSET(TH!D$1,SMALL(Dong1,ROWS($1:95)),),""))</f>
        <v>C34</v>
      </c>
      <c r="E108" s="128" t="str">
        <f ca="1">IF(ROWS($1:95)&gt;COUNT(Dong1),"",OFFSET(TH!F$1,SMALL(Dong1,ROWS($1:95)),))</f>
        <v>Trả lại tiền trả dư</v>
      </c>
      <c r="F108" s="86" t="str">
        <f ca="1">IF(ROWS($1:95)&gt;COUNT(Dong1),"",IF(OFFSET(TH!M$1,SMALL(Dong1,ROWS($1:95)),)="1111",OFFSET(TH!L$1,SMALL(Dong1,ROWS($1:95)),),OFFSET(TH!M$1,SMALL(Dong1,ROWS($1:95)),)))</f>
        <v>131</v>
      </c>
      <c r="G108" s="87">
        <f ca="1">IF(ROWS($1:95)&gt;COUNT(Dong1),"",IF(OFFSET(TH!L$1,SMALL(Dong1,ROWS($1:95)),)="1111",OFFSET(TH!K$1,SMALL(Dong1,ROWS($1:95)),),0))</f>
        <v>0</v>
      </c>
      <c r="H108" s="85">
        <f ca="1">IF(ROWS($1:95)&gt;COUNT(Dong1),"",IF(OFFSET(TH!M$1,SMALL(Dong1,ROWS($1:95)),)="1111",OFFSET(TH!K$1,SMALL(Dong1,ROWS($1:95)),),0))</f>
        <v>7592200</v>
      </c>
      <c r="I108" s="83">
        <f t="shared" ca="1" si="4"/>
        <v>2077700241</v>
      </c>
      <c r="J108" s="88"/>
    </row>
    <row r="109" spans="1:10" ht="21.75" customHeight="1">
      <c r="A109" s="82">
        <f ca="1">IF(ROWS($1:96)&gt;COUNT(Dong1),"",OFFSET(TH!C$1,SMALL(Dong1,ROWS($1:96)),))</f>
        <v>42734</v>
      </c>
      <c r="B109" s="82">
        <f ca="1">IF(ROWS($1:96)&gt;COUNT(Dong1),"",OFFSET(TH!E$1,SMALL(Dong1,ROWS($1:96)),))</f>
        <v>42734</v>
      </c>
      <c r="C109" s="83" t="str">
        <f ca="1">IF(ROWS($1:96)&gt;COUNT(Dong1),"",IF(OFFSET(TH!L$1,SMALL(Dong1,ROWS($1:96)),)="1111",OFFSET(TH!D$1,SMALL(Dong1,ROWS($1:96)),),""))</f>
        <v/>
      </c>
      <c r="D109" s="84" t="str">
        <f ca="1">IF(ROWS($1:96)&gt;COUNT(Dong1),"",IF(OFFSET(TH!M$1,SMALL(Dong1,ROWS($1:96)),)="1111",OFFSET(TH!D$1,SMALL(Dong1,ROWS($1:96)),),""))</f>
        <v>C35</v>
      </c>
      <c r="E109" s="128" t="str">
        <f ca="1">IF(ROWS($1:96)&gt;COUNT(Dong1),"",OFFSET(TH!F$1,SMALL(Dong1,ROWS($1:96)),))</f>
        <v>Thanh toán tiền hàng</v>
      </c>
      <c r="F109" s="86" t="str">
        <f ca="1">IF(ROWS($1:96)&gt;COUNT(Dong1),"",IF(OFFSET(TH!M$1,SMALL(Dong1,ROWS($1:96)),)="1111",OFFSET(TH!L$1,SMALL(Dong1,ROWS($1:96)),),OFFSET(TH!M$1,SMALL(Dong1,ROWS($1:96)),)))</f>
        <v>331</v>
      </c>
      <c r="G109" s="87">
        <f ca="1">IF(ROWS($1:96)&gt;COUNT(Dong1),"",IF(OFFSET(TH!L$1,SMALL(Dong1,ROWS($1:96)),)="1111",OFFSET(TH!K$1,SMALL(Dong1,ROWS($1:96)),),0))</f>
        <v>0</v>
      </c>
      <c r="H109" s="85">
        <f ca="1">IF(ROWS($1:96)&gt;COUNT(Dong1),"",IF(OFFSET(TH!M$1,SMALL(Dong1,ROWS($1:96)),)="1111",OFFSET(TH!K$1,SMALL(Dong1,ROWS($1:96)),),0))</f>
        <v>6916800</v>
      </c>
      <c r="I109" s="83">
        <f t="shared" ca="1" si="4"/>
        <v>2070783441</v>
      </c>
      <c r="J109" s="88"/>
    </row>
    <row r="110" spans="1:10" ht="21.75" customHeight="1">
      <c r="A110" s="82">
        <f ca="1">IF(ROWS($1:97)&gt;COUNT(Dong1),"",OFFSET(TH!C$1,SMALL(Dong1,ROWS($1:97)),))</f>
        <v>42734</v>
      </c>
      <c r="B110" s="82">
        <f ca="1">IF(ROWS($1:97)&gt;COUNT(Dong1),"",OFFSET(TH!E$1,SMALL(Dong1,ROWS($1:97)),))</f>
        <v>42734</v>
      </c>
      <c r="C110" s="83" t="str">
        <f ca="1">IF(ROWS($1:97)&gt;COUNT(Dong1),"",IF(OFFSET(TH!L$1,SMALL(Dong1,ROWS($1:97)),)="1111",OFFSET(TH!D$1,SMALL(Dong1,ROWS($1:97)),),""))</f>
        <v>T49</v>
      </c>
      <c r="D110" s="84" t="str">
        <f ca="1">IF(ROWS($1:97)&gt;COUNT(Dong1),"",IF(OFFSET(TH!M$1,SMALL(Dong1,ROWS($1:97)),)="1111",OFFSET(TH!D$1,SMALL(Dong1,ROWS($1:97)),),""))</f>
        <v/>
      </c>
      <c r="E110" s="128" t="str">
        <f ca="1">IF(ROWS($1:97)&gt;COUNT(Dong1),"",OFFSET(TH!F$1,SMALL(Dong1,ROWS($1:97)),))</f>
        <v>Rút tiền mặt</v>
      </c>
      <c r="F110" s="86" t="str">
        <f ca="1">IF(ROWS($1:97)&gt;COUNT(Dong1),"",IF(OFFSET(TH!M$1,SMALL(Dong1,ROWS($1:97)),)="1111",OFFSET(TH!L$1,SMALL(Dong1,ROWS($1:97)),),OFFSET(TH!M$1,SMALL(Dong1,ROWS($1:97)),)))</f>
        <v>1121</v>
      </c>
      <c r="G110" s="87">
        <f ca="1">IF(ROWS($1:97)&gt;COUNT(Dong1),"",IF(OFFSET(TH!L$1,SMALL(Dong1,ROWS($1:97)),)="1111",OFFSET(TH!K$1,SMALL(Dong1,ROWS($1:97)),),0))</f>
        <v>9500000</v>
      </c>
      <c r="H110" s="85">
        <f ca="1">IF(ROWS($1:97)&gt;COUNT(Dong1),"",IF(OFFSET(TH!M$1,SMALL(Dong1,ROWS($1:97)),)="1111",OFFSET(TH!K$1,SMALL(Dong1,ROWS($1:97)),),0))</f>
        <v>0</v>
      </c>
      <c r="I110" s="83">
        <f t="shared" ca="1" si="4"/>
        <v>2080283441</v>
      </c>
      <c r="J110" s="88"/>
    </row>
    <row r="111" spans="1:10" ht="21.75" customHeight="1">
      <c r="A111" s="82">
        <f ca="1">IF(ROWS($1:98)&gt;COUNT(Dong1),"",OFFSET(TH!C$1,SMALL(Dong1,ROWS($1:98)),))</f>
        <v>42735</v>
      </c>
      <c r="B111" s="82">
        <f ca="1">IF(ROWS($1:98)&gt;COUNT(Dong1),"",OFFSET(TH!E$1,SMALL(Dong1,ROWS($1:98)),))</f>
        <v>42735</v>
      </c>
      <c r="C111" s="83" t="str">
        <f ca="1">IF(ROWS($1:98)&gt;COUNT(Dong1),"",IF(OFFSET(TH!L$1,SMALL(Dong1,ROWS($1:98)),)="1111",OFFSET(TH!D$1,SMALL(Dong1,ROWS($1:98)),),""))</f>
        <v/>
      </c>
      <c r="D111" s="84" t="str">
        <f ca="1">IF(ROWS($1:98)&gt;COUNT(Dong1),"",IF(OFFSET(TH!M$1,SMALL(Dong1,ROWS($1:98)),)="1111",OFFSET(TH!D$1,SMALL(Dong1,ROWS($1:98)),),""))</f>
        <v>C36</v>
      </c>
      <c r="E111" s="128" t="str">
        <f ca="1">IF(ROWS($1:98)&gt;COUNT(Dong1),"",OFFSET(TH!F$1,SMALL(Dong1,ROWS($1:98)),))</f>
        <v>Thanh toán tiền lương tháng 12/2016</v>
      </c>
      <c r="F111" s="86" t="str">
        <f ca="1">IF(ROWS($1:98)&gt;COUNT(Dong1),"",IF(OFFSET(TH!M$1,SMALL(Dong1,ROWS($1:98)),)="1111",OFFSET(TH!L$1,SMALL(Dong1,ROWS($1:98)),),OFFSET(TH!M$1,SMALL(Dong1,ROWS($1:98)),)))</f>
        <v>3341</v>
      </c>
      <c r="G111" s="87">
        <f ca="1">IF(ROWS($1:98)&gt;COUNT(Dong1),"",IF(OFFSET(TH!L$1,SMALL(Dong1,ROWS($1:98)),)="1111",OFFSET(TH!K$1,SMALL(Dong1,ROWS($1:98)),),0))</f>
        <v>0</v>
      </c>
      <c r="H111" s="85">
        <f ca="1">IF(ROWS($1:98)&gt;COUNT(Dong1),"",IF(OFFSET(TH!M$1,SMALL(Dong1,ROWS($1:98)),)="1111",OFFSET(TH!K$1,SMALL(Dong1,ROWS($1:98)),),0))</f>
        <v>18425000</v>
      </c>
      <c r="I111" s="83">
        <f t="shared" ca="1" si="4"/>
        <v>2061858441</v>
      </c>
      <c r="J111" s="88"/>
    </row>
    <row r="112" spans="1:10" ht="21.75" customHeight="1">
      <c r="A112" s="82">
        <f ca="1">IF(ROWS($1:99)&gt;COUNT(Dong1),"",OFFSET(TH!C$1,SMALL(Dong1,ROWS($1:99)),))</f>
        <v>42735</v>
      </c>
      <c r="B112" s="82">
        <f ca="1">IF(ROWS($1:99)&gt;COUNT(Dong1),"",OFFSET(TH!E$1,SMALL(Dong1,ROWS($1:99)),))</f>
        <v>42735</v>
      </c>
      <c r="C112" s="83" t="str">
        <f ca="1">IF(ROWS($1:99)&gt;COUNT(Dong1),"",IF(OFFSET(TH!L$1,SMALL(Dong1,ROWS($1:99)),)="1111",OFFSET(TH!D$1,SMALL(Dong1,ROWS($1:99)),),""))</f>
        <v/>
      </c>
      <c r="D112" s="84" t="str">
        <f ca="1">IF(ROWS($1:99)&gt;COUNT(Dong1),"",IF(OFFSET(TH!M$1,SMALL(Dong1,ROWS($1:99)),)="1111",OFFSET(TH!D$1,SMALL(Dong1,ROWS($1:99)),),""))</f>
        <v>C37</v>
      </c>
      <c r="E112" s="128" t="str">
        <f ca="1">IF(ROWS($1:99)&gt;COUNT(Dong1),"",OFFSET(TH!F$1,SMALL(Dong1,ROWS($1:99)),))</f>
        <v>Cước CPN T12/2016</v>
      </c>
      <c r="F112" s="86" t="str">
        <f ca="1">IF(ROWS($1:99)&gt;COUNT(Dong1),"",IF(OFFSET(TH!M$1,SMALL(Dong1,ROWS($1:99)),)="1111",OFFSET(TH!L$1,SMALL(Dong1,ROWS($1:99)),),OFFSET(TH!M$1,SMALL(Dong1,ROWS($1:99)),)))</f>
        <v>642</v>
      </c>
      <c r="G112" s="87">
        <f ca="1">IF(ROWS($1:99)&gt;COUNT(Dong1),"",IF(OFFSET(TH!L$1,SMALL(Dong1,ROWS($1:99)),)="1111",OFFSET(TH!K$1,SMALL(Dong1,ROWS($1:99)),),0))</f>
        <v>0</v>
      </c>
      <c r="H112" s="85">
        <f ca="1">IF(ROWS($1:99)&gt;COUNT(Dong1),"",IF(OFFSET(TH!M$1,SMALL(Dong1,ROWS($1:99)),)="1111",OFFSET(TH!K$1,SMALL(Dong1,ROWS($1:99)),),0))</f>
        <v>50370</v>
      </c>
      <c r="I112" s="83">
        <f t="shared" ca="1" si="4"/>
        <v>2061808071</v>
      </c>
      <c r="J112" s="88"/>
    </row>
    <row r="113" spans="1:12" ht="21.75" customHeight="1">
      <c r="A113" s="82">
        <f ca="1">IF(ROWS($1:100)&gt;COUNT(Dong1),"",OFFSET(TH!C$1,SMALL(Dong1,ROWS($1:100)),))</f>
        <v>42735</v>
      </c>
      <c r="B113" s="82">
        <f ca="1">IF(ROWS($1:100)&gt;COUNT(Dong1),"",OFFSET(TH!E$1,SMALL(Dong1,ROWS($1:100)),))</f>
        <v>42735</v>
      </c>
      <c r="C113" s="83" t="str">
        <f ca="1">IF(ROWS($1:100)&gt;COUNT(Dong1),"",IF(OFFSET(TH!L$1,SMALL(Dong1,ROWS($1:100)),)="1111",OFFSET(TH!D$1,SMALL(Dong1,ROWS($1:100)),),""))</f>
        <v/>
      </c>
      <c r="D113" s="84" t="str">
        <f ca="1">IF(ROWS($1:100)&gt;COUNT(Dong1),"",IF(OFFSET(TH!M$1,SMALL(Dong1,ROWS($1:100)),)="1111",OFFSET(TH!D$1,SMALL(Dong1,ROWS($1:100)),),""))</f>
        <v>C37</v>
      </c>
      <c r="E113" s="128" t="str">
        <f ca="1">IF(ROWS($1:100)&gt;COUNT(Dong1),"",OFFSET(TH!F$1,SMALL(Dong1,ROWS($1:100)),))</f>
        <v>VAT Cước CPN T12/2016</v>
      </c>
      <c r="F113" s="86" t="str">
        <f ca="1">IF(ROWS($1:100)&gt;COUNT(Dong1),"",IF(OFFSET(TH!M$1,SMALL(Dong1,ROWS($1:100)),)="1111",OFFSET(TH!L$1,SMALL(Dong1,ROWS($1:100)),),OFFSET(TH!M$1,SMALL(Dong1,ROWS($1:100)),)))</f>
        <v>1331</v>
      </c>
      <c r="G113" s="87">
        <f ca="1">IF(ROWS($1:100)&gt;COUNT(Dong1),"",IF(OFFSET(TH!L$1,SMALL(Dong1,ROWS($1:100)),)="1111",OFFSET(TH!K$1,SMALL(Dong1,ROWS($1:100)),),0))</f>
        <v>0</v>
      </c>
      <c r="H113" s="85">
        <f ca="1">IF(ROWS($1:100)&gt;COUNT(Dong1),"",IF(OFFSET(TH!M$1,SMALL(Dong1,ROWS($1:100)),)="1111",OFFSET(TH!K$1,SMALL(Dong1,ROWS($1:100)),),0))</f>
        <v>5037</v>
      </c>
      <c r="I113" s="83">
        <f t="shared" ca="1" si="4"/>
        <v>2061803034</v>
      </c>
      <c r="J113" s="88"/>
    </row>
    <row r="114" spans="1:12" ht="21.75" customHeight="1">
      <c r="A114" s="82">
        <f ca="1">IF(ROWS($1:101)&gt;COUNT(Dong1),"",OFFSET(TH!C$1,SMALL(Dong1,ROWS($1:101)),))</f>
        <v>42735</v>
      </c>
      <c r="B114" s="82">
        <f ca="1">IF(ROWS($1:101)&gt;COUNT(Dong1),"",OFFSET(TH!E$1,SMALL(Dong1,ROWS($1:101)),))</f>
        <v>42735</v>
      </c>
      <c r="C114" s="83" t="str">
        <f ca="1">IF(ROWS($1:101)&gt;COUNT(Dong1),"",IF(OFFSET(TH!L$1,SMALL(Dong1,ROWS($1:101)),)="1111",OFFSET(TH!D$1,SMALL(Dong1,ROWS($1:101)),),""))</f>
        <v/>
      </c>
      <c r="D114" s="84" t="str">
        <f ca="1">IF(ROWS($1:101)&gt;COUNT(Dong1),"",IF(OFFSET(TH!M$1,SMALL(Dong1,ROWS($1:101)),)="1111",OFFSET(TH!D$1,SMALL(Dong1,ROWS($1:101)),),""))</f>
        <v>C38</v>
      </c>
      <c r="E114" s="128" t="str">
        <f ca="1">IF(ROWS($1:101)&gt;COUNT(Dong1),"",OFFSET(TH!F$1,SMALL(Dong1,ROWS($1:101)),))</f>
        <v>Phí sử dụng đường bộ</v>
      </c>
      <c r="F114" s="86" t="str">
        <f ca="1">IF(ROWS($1:101)&gt;COUNT(Dong1),"",IF(OFFSET(TH!M$1,SMALL(Dong1,ROWS($1:101)),)="1111",OFFSET(TH!L$1,SMALL(Dong1,ROWS($1:101)),),OFFSET(TH!M$1,SMALL(Dong1,ROWS($1:101)),)))</f>
        <v>641</v>
      </c>
      <c r="G114" s="87">
        <f ca="1">IF(ROWS($1:101)&gt;COUNT(Dong1),"",IF(OFFSET(TH!L$1,SMALL(Dong1,ROWS($1:101)),)="1111",OFFSET(TH!K$1,SMALL(Dong1,ROWS($1:101)),),0))</f>
        <v>0</v>
      </c>
      <c r="H114" s="85">
        <f ca="1">IF(ROWS($1:101)&gt;COUNT(Dong1),"",IF(OFFSET(TH!M$1,SMALL(Dong1,ROWS($1:101)),)="1111",OFFSET(TH!K$1,SMALL(Dong1,ROWS($1:101)),),0))</f>
        <v>281818</v>
      </c>
      <c r="I114" s="83">
        <f t="shared" ca="1" si="4"/>
        <v>2061521216</v>
      </c>
      <c r="J114" s="88"/>
    </row>
    <row r="115" spans="1:12" ht="21.75" customHeight="1">
      <c r="A115" s="82">
        <f ca="1">IF(ROWS($1:102)&gt;COUNT(Dong1),"",OFFSET(TH!C$1,SMALL(Dong1,ROWS($1:102)),))</f>
        <v>42735</v>
      </c>
      <c r="B115" s="82">
        <f ca="1">IF(ROWS($1:102)&gt;COUNT(Dong1),"",OFFSET(TH!E$1,SMALL(Dong1,ROWS($1:102)),))</f>
        <v>42735</v>
      </c>
      <c r="C115" s="83" t="str">
        <f ca="1">IF(ROWS($1:102)&gt;COUNT(Dong1),"",IF(OFFSET(TH!L$1,SMALL(Dong1,ROWS($1:102)),)="1111",OFFSET(TH!D$1,SMALL(Dong1,ROWS($1:102)),),""))</f>
        <v/>
      </c>
      <c r="D115" s="84" t="str">
        <f ca="1">IF(ROWS($1:102)&gt;COUNT(Dong1),"",IF(OFFSET(TH!M$1,SMALL(Dong1,ROWS($1:102)),)="1111",OFFSET(TH!D$1,SMALL(Dong1,ROWS($1:102)),),""))</f>
        <v>C38</v>
      </c>
      <c r="E115" s="128" t="str">
        <f ca="1">IF(ROWS($1:102)&gt;COUNT(Dong1),"",OFFSET(TH!F$1,SMALL(Dong1,ROWS($1:102)),))</f>
        <v>VAT Phí sử dụng đường bộ</v>
      </c>
      <c r="F115" s="86" t="str">
        <f ca="1">IF(ROWS($1:102)&gt;COUNT(Dong1),"",IF(OFFSET(TH!M$1,SMALL(Dong1,ROWS($1:102)),)="1111",OFFSET(TH!L$1,SMALL(Dong1,ROWS($1:102)),),OFFSET(TH!M$1,SMALL(Dong1,ROWS($1:102)),)))</f>
        <v>1331</v>
      </c>
      <c r="G115" s="87">
        <f ca="1">IF(ROWS($1:102)&gt;COUNT(Dong1),"",IF(OFFSET(TH!L$1,SMALL(Dong1,ROWS($1:102)),)="1111",OFFSET(TH!K$1,SMALL(Dong1,ROWS($1:102)),),0))</f>
        <v>0</v>
      </c>
      <c r="H115" s="85">
        <f ca="1">IF(ROWS($1:102)&gt;COUNT(Dong1),"",IF(OFFSET(TH!M$1,SMALL(Dong1,ROWS($1:102)),)="1111",OFFSET(TH!K$1,SMALL(Dong1,ROWS($1:102)),),0))</f>
        <v>28182</v>
      </c>
      <c r="I115" s="83">
        <f t="shared" ca="1" si="4"/>
        <v>2061493034</v>
      </c>
      <c r="J115" s="88"/>
    </row>
    <row r="116" spans="1:12" ht="21.75" customHeight="1">
      <c r="A116" s="82" t="str">
        <f ca="1">IF(ROWS($1:103)&gt;COUNT(Dong1),"",OFFSET(TH!C$1,SMALL(Dong1,ROWS($1:103)),))</f>
        <v/>
      </c>
      <c r="B116" s="82" t="str">
        <f ca="1">IF(ROWS($1:103)&gt;COUNT(Dong1),"",OFFSET(TH!E$1,SMALL(Dong1,ROWS($1:103)),))</f>
        <v/>
      </c>
      <c r="C116" s="83" t="str">
        <f ca="1">IF(ROWS($1:103)&gt;COUNT(Dong1),"",IF(OFFSET(TH!L$1,SMALL(Dong1,ROWS($1:103)),)="1111",OFFSET(TH!D$1,SMALL(Dong1,ROWS($1:103)),),""))</f>
        <v/>
      </c>
      <c r="D116" s="84" t="str">
        <f ca="1">IF(ROWS($1:103)&gt;COUNT(Dong1),"",IF(OFFSET(TH!M$1,SMALL(Dong1,ROWS($1:103)),)="1111",OFFSET(TH!D$1,SMALL(Dong1,ROWS($1:103)),),""))</f>
        <v/>
      </c>
      <c r="E116" s="128" t="str">
        <f ca="1">IF(ROWS($1:103)&gt;COUNT(Dong1),"",OFFSET(TH!F$1,SMALL(Dong1,ROWS($1:103)),))</f>
        <v/>
      </c>
      <c r="F116" s="86" t="str">
        <f ca="1">IF(ROWS($1:103)&gt;COUNT(Dong1),"",IF(OFFSET(TH!M$1,SMALL(Dong1,ROWS($1:103)),)="1111",OFFSET(TH!L$1,SMALL(Dong1,ROWS($1:103)),),OFFSET(TH!M$1,SMALL(Dong1,ROWS($1:103)),)))</f>
        <v/>
      </c>
      <c r="G116" s="87" t="str">
        <f ca="1">IF(ROWS($1:103)&gt;COUNT(Dong1),"",IF(OFFSET(TH!L$1,SMALL(Dong1,ROWS($1:103)),)="1111",OFFSET(TH!K$1,SMALL(Dong1,ROWS($1:103)),),0))</f>
        <v/>
      </c>
      <c r="H116" s="85" t="str">
        <f ca="1">IF(ROWS($1:103)&gt;COUNT(Dong1),"",IF(OFFSET(TH!M$1,SMALL(Dong1,ROWS($1:103)),)="1111",OFFSET(TH!K$1,SMALL(Dong1,ROWS($1:103)),),0))</f>
        <v/>
      </c>
      <c r="I116" s="83">
        <f t="shared" ref="I116" ca="1" si="5">IF(E116&lt;&gt;"",I115+G116-H116,0)</f>
        <v>0</v>
      </c>
      <c r="J116" s="88"/>
    </row>
    <row r="117" spans="1:12" s="78" customFormat="1" ht="21.75" customHeight="1">
      <c r="A117" s="89"/>
      <c r="B117" s="89"/>
      <c r="C117" s="89"/>
      <c r="D117" s="89"/>
      <c r="E117" s="89" t="s">
        <v>128</v>
      </c>
      <c r="F117" s="90" t="s">
        <v>19</v>
      </c>
      <c r="G117" s="89">
        <f ca="1">SUM(G14:G116)</f>
        <v>911510286</v>
      </c>
      <c r="H117" s="89">
        <f ca="1">SUM(H14:H116)</f>
        <v>411867667</v>
      </c>
      <c r="I117" s="90" t="s">
        <v>19</v>
      </c>
      <c r="J117" s="90" t="s">
        <v>19</v>
      </c>
    </row>
    <row r="118" spans="1:12" s="78" customFormat="1" ht="21.75" customHeight="1">
      <c r="A118" s="91"/>
      <c r="B118" s="91"/>
      <c r="C118" s="91"/>
      <c r="D118" s="91"/>
      <c r="E118" s="91" t="s">
        <v>129</v>
      </c>
      <c r="F118" s="92" t="s">
        <v>19</v>
      </c>
      <c r="G118" s="92" t="s">
        <v>19</v>
      </c>
      <c r="H118" s="92" t="s">
        <v>19</v>
      </c>
      <c r="I118" s="93">
        <f ca="1">I13+G117-H117</f>
        <v>2061493034</v>
      </c>
      <c r="J118" s="92" t="s">
        <v>19</v>
      </c>
    </row>
    <row r="119" spans="1:12">
      <c r="L119" s="94" t="s">
        <v>149</v>
      </c>
    </row>
    <row r="120" spans="1:12">
      <c r="A120" s="94" t="s">
        <v>150</v>
      </c>
      <c r="L120" s="94" t="s">
        <v>150</v>
      </c>
    </row>
    <row r="121" spans="1:12">
      <c r="A121" s="675" t="str">
        <f ca="1">"- Ngày mở sổ: "&amp;DAY($A$14)&amp;"/"&amp;MONTH($A$14)&amp;"/ " &amp;YEAR($A$14)</f>
        <v>- Ngày mở sổ: 1/10/ 2016</v>
      </c>
      <c r="L121" s="94" t="s">
        <v>130</v>
      </c>
    </row>
    <row r="122" spans="1:12">
      <c r="I122" s="96" t="str">
        <f ca="1">"Ngày "&amp;IF(OR($L$11=4,$L$11=6,$L$11=9,$L$11=11),"30",IF($L$11=2,"28","31"))&amp;" tháng "&amp;$O$11&amp;"  năm  "&amp;YEAR($A$14)</f>
        <v>Ngày 31 tháng 12  năm  2016</v>
      </c>
      <c r="L122" s="94" t="s">
        <v>147</v>
      </c>
    </row>
    <row r="123" spans="1:12" s="95" customFormat="1" ht="14.25">
      <c r="C123" s="95" t="s">
        <v>11</v>
      </c>
      <c r="E123" s="95" t="s">
        <v>12</v>
      </c>
      <c r="I123" s="95" t="s">
        <v>104</v>
      </c>
    </row>
    <row r="124" spans="1:12" s="96" customFormat="1">
      <c r="C124" s="96" t="s">
        <v>13</v>
      </c>
      <c r="E124" s="96" t="s">
        <v>13</v>
      </c>
      <c r="I124" s="96" t="s">
        <v>131</v>
      </c>
    </row>
    <row r="125" spans="1:12" s="96" customFormat="1"/>
    <row r="126" spans="1:12" s="96" customFormat="1"/>
    <row r="127" spans="1:12" s="96" customFormat="1"/>
    <row r="128" spans="1:12" s="96" customFormat="1"/>
    <row r="131" spans="1:10">
      <c r="C131" s="633"/>
      <c r="I131" s="679"/>
    </row>
    <row r="132" spans="1:10">
      <c r="E132" s="76">
        <f ca="1">SUMIF($D$14:$D$36,#REF!,H14:H36)</f>
        <v>0</v>
      </c>
    </row>
    <row r="135" spans="1:10">
      <c r="A135" s="76">
        <v>2</v>
      </c>
      <c r="B135" s="76">
        <v>3</v>
      </c>
      <c r="C135" s="76">
        <v>4</v>
      </c>
      <c r="D135" s="76">
        <v>5</v>
      </c>
      <c r="E135" s="76">
        <v>6</v>
      </c>
      <c r="F135" s="76">
        <v>9</v>
      </c>
      <c r="G135" s="76">
        <v>10</v>
      </c>
      <c r="H135" s="76">
        <v>11</v>
      </c>
      <c r="I135" s="76">
        <v>12</v>
      </c>
      <c r="J135" s="7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300"/>
      <c r="R3" s="114"/>
      <c r="S3" s="115" t="s">
        <v>327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301"/>
      <c r="R4" s="48"/>
      <c r="S4" s="404">
        <v>4</v>
      </c>
      <c r="T4" s="48"/>
      <c r="U4" s="302" t="s">
        <v>1068</v>
      </c>
      <c r="V4" s="73"/>
      <c r="W4" s="303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300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Mười chín triệu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39" customWidth="1"/>
    <col min="3" max="3" width="9" style="101" customWidth="1"/>
    <col min="4" max="4" width="38.710937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98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148</v>
      </c>
      <c r="H1" s="680"/>
      <c r="I1" s="129"/>
      <c r="K1" s="499"/>
      <c r="L1" s="499"/>
    </row>
    <row r="2" spans="1:21" ht="16.5" customHeight="1">
      <c r="A2" s="859" t="str">
        <f>TH!A2</f>
        <v>Địa chỉ: Ấp Rừng Sến, xã Mỹ Hạnh Bắc, Huyện Đức Hòa, Tỉnh Long An, Việt Nam</v>
      </c>
      <c r="B2" s="859"/>
      <c r="C2" s="859"/>
      <c r="D2" s="859"/>
      <c r="E2" s="859"/>
      <c r="F2" s="854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54"/>
      <c r="H2" s="854"/>
      <c r="I2" s="130"/>
      <c r="K2" s="500"/>
      <c r="L2" s="500"/>
    </row>
    <row r="3" spans="1:21" ht="16.5" customHeight="1">
      <c r="A3" s="859"/>
      <c r="B3" s="859"/>
      <c r="C3" s="859"/>
      <c r="D3" s="859"/>
      <c r="E3" s="859"/>
      <c r="F3" s="854"/>
      <c r="G3" s="854"/>
      <c r="H3" s="854"/>
      <c r="I3" s="130"/>
    </row>
    <row r="4" spans="1:21" ht="27.75" customHeight="1">
      <c r="A4" s="857" t="s">
        <v>132</v>
      </c>
      <c r="B4" s="857"/>
      <c r="C4" s="857"/>
      <c r="D4" s="857"/>
      <c r="E4" s="857"/>
      <c r="F4" s="857"/>
      <c r="G4" s="857"/>
      <c r="H4" s="857"/>
      <c r="I4" s="857"/>
    </row>
    <row r="5" spans="1:21">
      <c r="A5" s="85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58"/>
      <c r="C5" s="858"/>
      <c r="D5" s="858"/>
      <c r="E5" s="858"/>
      <c r="F5" s="858"/>
      <c r="G5" s="858"/>
      <c r="H5" s="858"/>
      <c r="I5" s="858"/>
    </row>
    <row r="6" spans="1:21">
      <c r="A6" s="99"/>
      <c r="B6" s="99"/>
      <c r="C6" s="99"/>
      <c r="D6" s="137" t="s">
        <v>152</v>
      </c>
      <c r="E6" s="858" t="str">
        <f>IF($M$9="VCB","0631000451708","")</f>
        <v>0631000451708</v>
      </c>
      <c r="F6" s="858"/>
      <c r="G6" s="858"/>
      <c r="H6" s="398" t="s">
        <v>103</v>
      </c>
      <c r="I6" s="138" t="str">
        <f>IF(H6="VNĐ","1121",IF(H6="USD","1122",""))</f>
        <v>1121</v>
      </c>
      <c r="N6" s="849" t="s">
        <v>322</v>
      </c>
      <c r="O6" s="849"/>
      <c r="Q6" s="855" t="s">
        <v>264</v>
      </c>
      <c r="R6" s="855" t="s">
        <v>472</v>
      </c>
      <c r="S6" s="855"/>
      <c r="T6" s="855"/>
    </row>
    <row r="7" spans="1:21" ht="8.25" customHeight="1" thickBot="1">
      <c r="A7" s="102"/>
      <c r="C7" s="102"/>
      <c r="D7" s="639"/>
      <c r="E7" s="639"/>
      <c r="F7" s="639"/>
      <c r="G7" s="639"/>
      <c r="H7" s="399"/>
      <c r="I7" s="639"/>
      <c r="Q7" s="856"/>
      <c r="R7" s="856"/>
      <c r="S7" s="856"/>
      <c r="T7" s="856"/>
    </row>
    <row r="8" spans="1:21" s="681" customFormat="1" ht="22.5" customHeight="1" thickBot="1">
      <c r="A8" s="862" t="s">
        <v>133</v>
      </c>
      <c r="B8" s="864" t="s">
        <v>1</v>
      </c>
      <c r="C8" s="865"/>
      <c r="D8" s="860" t="s">
        <v>0</v>
      </c>
      <c r="E8" s="866" t="s">
        <v>14</v>
      </c>
      <c r="F8" s="868" t="s">
        <v>134</v>
      </c>
      <c r="G8" s="868"/>
      <c r="H8" s="865"/>
      <c r="I8" s="860" t="s">
        <v>122</v>
      </c>
      <c r="K8" s="637"/>
      <c r="L8" s="99"/>
      <c r="N8" s="682">
        <f>IF(K9="Quý I",1,IF(K9="Quý II",4,IF(K9="Quý III",7,IF(K9="Quý IV",10,""))))</f>
        <v>10</v>
      </c>
      <c r="O8" s="683">
        <f>IF(K9="Quý I",3,IF(K9="Quý II",6,IF(K9="Quý III",9,IF(K9="Quý IV",12,""))))</f>
        <v>12</v>
      </c>
      <c r="Q8" s="684" t="s">
        <v>265</v>
      </c>
      <c r="R8" s="685"/>
      <c r="S8" s="685"/>
      <c r="T8" s="685"/>
      <c r="U8" s="686">
        <f>SUM(R8:T8)</f>
        <v>0</v>
      </c>
    </row>
    <row r="9" spans="1:21" s="681" customFormat="1" ht="22.5" customHeight="1" thickBot="1">
      <c r="A9" s="863"/>
      <c r="B9" s="687" t="s">
        <v>15</v>
      </c>
      <c r="C9" s="688" t="s">
        <v>135</v>
      </c>
      <c r="D9" s="861"/>
      <c r="E9" s="867"/>
      <c r="F9" s="687" t="s">
        <v>136</v>
      </c>
      <c r="G9" s="689" t="s">
        <v>137</v>
      </c>
      <c r="H9" s="690" t="s">
        <v>138</v>
      </c>
      <c r="I9" s="861"/>
      <c r="K9" s="448" t="s">
        <v>359</v>
      </c>
      <c r="L9" s="99"/>
      <c r="M9" s="691" t="s">
        <v>472</v>
      </c>
      <c r="Q9" s="99"/>
      <c r="R9" s="99"/>
      <c r="S9" s="99"/>
      <c r="T9" s="99"/>
      <c r="U9" s="99"/>
    </row>
    <row r="10" spans="1:21">
      <c r="A10" s="692" t="s">
        <v>2</v>
      </c>
      <c r="B10" s="693" t="s">
        <v>3</v>
      </c>
      <c r="C10" s="692" t="s">
        <v>4</v>
      </c>
      <c r="D10" s="693" t="s">
        <v>5</v>
      </c>
      <c r="E10" s="693" t="s">
        <v>6</v>
      </c>
      <c r="F10" s="693">
        <v>1</v>
      </c>
      <c r="G10" s="693">
        <v>2</v>
      </c>
      <c r="H10" s="693">
        <v>3</v>
      </c>
      <c r="I10" s="693" t="s">
        <v>125</v>
      </c>
    </row>
    <row r="11" spans="1:21" ht="18.75" customHeight="1">
      <c r="A11" s="694"/>
      <c r="B11" s="693"/>
      <c r="C11" s="694"/>
      <c r="D11" s="695" t="s">
        <v>7</v>
      </c>
      <c r="E11" s="695"/>
      <c r="F11" s="696"/>
      <c r="G11" s="696"/>
      <c r="H11" s="696">
        <f>IF($M$9="ACB",$R$8,IF($M$9="AGR",$S$8,$T$8))+SUMIF(_N112,"x",TH)-SUMIF(_C112,"x",TH)</f>
        <v>20360084</v>
      </c>
      <c r="I11" s="697"/>
      <c r="Q11" s="681"/>
      <c r="R11" s="681"/>
      <c r="S11" s="681"/>
      <c r="T11" s="681"/>
      <c r="U11" s="681"/>
    </row>
    <row r="12" spans="1:21" s="681" customFormat="1" ht="18.75" customHeight="1">
      <c r="A12" s="698">
        <f ca="1">IF(ROWS($1:1)&gt;COUNT(Dong2),"",OFFSET(TH!C$1,SMALL(Dong2,ROWS($1:1)),))</f>
        <v>42646</v>
      </c>
      <c r="B12" s="698" t="str">
        <f ca="1">IF(ROWS($1:1)&gt;COUNT(Dong2),"",OFFSET(TH!D$1,SMALL(Dong2,ROWS($1:1)),))</f>
        <v>T01</v>
      </c>
      <c r="C12" s="698">
        <f ca="1">IF(ROWS($1:1)&gt;COUNT(Dong2),"",OFFSET(TH!E$1,SMALL(Dong2,ROWS($1:1)),))</f>
        <v>42646</v>
      </c>
      <c r="D12" s="699" t="str">
        <f ca="1">IF(ROWS($1:1)&gt;COUNT(Dong2),"",OFFSET(TH!F$1,SMALL(Dong2,ROWS($1:1)),))</f>
        <v>Rút tiền mặt</v>
      </c>
      <c r="E12" s="698" t="str">
        <f ca="1">IF(ROWS($1:1)&gt;COUNT(Dong2),"",IF(OFFSET(TH!M$1,SMALL(Dong2,ROWS($1:1)),)=$I$6,OFFSET(TH!L$1,SMALL(Dong2,ROWS($1:1)),),OFFSET(TH!M$1,SMALL(Dong2,ROWS($1:1)),)))</f>
        <v>1111</v>
      </c>
      <c r="F12" s="70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0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01">
        <f ca="1">IF(A12&lt;&gt;"",H11+F12-G12,0)</f>
        <v>1360084</v>
      </c>
      <c r="I12" s="702"/>
      <c r="L12" s="99"/>
    </row>
    <row r="13" spans="1:21" s="681" customFormat="1" ht="18.75" customHeight="1">
      <c r="A13" s="698">
        <f ca="1">IF(ROWS($1:2)&gt;COUNT(Dong2),"",OFFSET(TH!C$1,SMALL(Dong2,ROWS($1:2)),))</f>
        <v>42647</v>
      </c>
      <c r="B13" s="698" t="str">
        <f ca="1">IF(ROWS($1:2)&gt;COUNT(Dong2),"",OFFSET(TH!D$1,SMALL(Dong2,ROWS($1:2)),))</f>
        <v>C04</v>
      </c>
      <c r="C13" s="698">
        <f ca="1">IF(ROWS($1:2)&gt;COUNT(Dong2),"",OFFSET(TH!E$1,SMALL(Dong2,ROWS($1:2)),))</f>
        <v>42647</v>
      </c>
      <c r="D13" s="699" t="str">
        <f ca="1">IF(ROWS($1:2)&gt;COUNT(Dong2),"",OFFSET(TH!F$1,SMALL(Dong2,ROWS($1:2)),))</f>
        <v>Nộp tiền mặt</v>
      </c>
      <c r="E13" s="698" t="str">
        <f ca="1">IF(ROWS($1:2)&gt;COUNT(Dong2),"",IF(OFFSET(TH!M$1,SMALL(Dong2,ROWS($1:2)),)=$I$6,OFFSET(TH!L$1,SMALL(Dong2,ROWS($1:2)),),OFFSET(TH!M$1,SMALL(Dong2,ROWS($1:2)),)))</f>
        <v>1111</v>
      </c>
      <c r="F13" s="7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01">
        <f t="shared" ref="H13:H76" ca="1" si="0">IF(A13&lt;&gt;"",H12+F13-G13,0)</f>
        <v>51360084</v>
      </c>
      <c r="I13" s="702"/>
      <c r="L13" s="99"/>
    </row>
    <row r="14" spans="1:21" s="681" customFormat="1" ht="18.75" customHeight="1">
      <c r="A14" s="698">
        <f ca="1">IF(ROWS($1:3)&gt;COUNT(Dong2),"",OFFSET(TH!C$1,SMALL(Dong2,ROWS($1:3)),))</f>
        <v>42647</v>
      </c>
      <c r="B14" s="698" t="str">
        <f ca="1">IF(ROWS($1:3)&gt;COUNT(Dong2),"",OFFSET(TH!D$1,SMALL(Dong2,ROWS($1:3)),))</f>
        <v>GBN</v>
      </c>
      <c r="C14" s="698">
        <f ca="1">IF(ROWS($1:3)&gt;COUNT(Dong2),"",OFFSET(TH!E$1,SMALL(Dong2,ROWS($1:3)),))</f>
        <v>42647</v>
      </c>
      <c r="D14" s="699" t="str">
        <f ca="1">IF(ROWS($1:3)&gt;COUNT(Dong2),"",OFFSET(TH!F$1,SMALL(Dong2,ROWS($1:3)),))</f>
        <v>Thanh toán tiền hàng</v>
      </c>
      <c r="E14" s="698" t="str">
        <f ca="1">IF(ROWS($1:3)&gt;COUNT(Dong2),"",IF(OFFSET(TH!M$1,SMALL(Dong2,ROWS($1:3)),)=$I$6,OFFSET(TH!L$1,SMALL(Dong2,ROWS($1:3)),),OFFSET(TH!M$1,SMALL(Dong2,ROWS($1:3)),)))</f>
        <v>331</v>
      </c>
      <c r="F14" s="7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01">
        <f t="shared" ca="1" si="0"/>
        <v>1360084</v>
      </c>
      <c r="I14" s="702"/>
      <c r="L14" s="99"/>
    </row>
    <row r="15" spans="1:21" s="681" customFormat="1" ht="18.75" customHeight="1">
      <c r="A15" s="698">
        <f ca="1">IF(ROWS($1:4)&gt;COUNT(Dong2),"",OFFSET(TH!C$1,SMALL(Dong2,ROWS($1:4)),))</f>
        <v>42647</v>
      </c>
      <c r="B15" s="698" t="str">
        <f ca="1">IF(ROWS($1:4)&gt;COUNT(Dong2),"",OFFSET(TH!D$1,SMALL(Dong2,ROWS($1:4)),))</f>
        <v>GBN</v>
      </c>
      <c r="C15" s="698">
        <f ca="1">IF(ROWS($1:4)&gt;COUNT(Dong2),"",OFFSET(TH!E$1,SMALL(Dong2,ROWS($1:4)),))</f>
        <v>42647</v>
      </c>
      <c r="D15" s="699" t="str">
        <f ca="1">IF(ROWS($1:4)&gt;COUNT(Dong2),"",OFFSET(TH!F$1,SMALL(Dong2,ROWS($1:4)),))</f>
        <v>Phí chuyển tiền</v>
      </c>
      <c r="E15" s="698" t="str">
        <f ca="1">IF(ROWS($1:4)&gt;COUNT(Dong2),"",IF(OFFSET(TH!M$1,SMALL(Dong2,ROWS($1:4)),)=$I$6,OFFSET(TH!L$1,SMALL(Dong2,ROWS($1:4)),),OFFSET(TH!M$1,SMALL(Dong2,ROWS($1:4)),)))</f>
        <v>642</v>
      </c>
      <c r="F15" s="7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1">
        <f t="shared" ca="1" si="0"/>
        <v>1350084</v>
      </c>
      <c r="I15" s="702"/>
      <c r="L15" s="99"/>
    </row>
    <row r="16" spans="1:21" s="681" customFormat="1" ht="18.75" customHeight="1">
      <c r="A16" s="698">
        <f ca="1">IF(ROWS($1:5)&gt;COUNT(Dong2),"",OFFSET(TH!C$1,SMALL(Dong2,ROWS($1:5)),))</f>
        <v>42647</v>
      </c>
      <c r="B16" s="698" t="str">
        <f ca="1">IF(ROWS($1:5)&gt;COUNT(Dong2),"",OFFSET(TH!D$1,SMALL(Dong2,ROWS($1:5)),))</f>
        <v>GBN</v>
      </c>
      <c r="C16" s="698">
        <f ca="1">IF(ROWS($1:5)&gt;COUNT(Dong2),"",OFFSET(TH!E$1,SMALL(Dong2,ROWS($1:5)),))</f>
        <v>42647</v>
      </c>
      <c r="D16" s="699" t="str">
        <f ca="1">IF(ROWS($1:5)&gt;COUNT(Dong2),"",OFFSET(TH!F$1,SMALL(Dong2,ROWS($1:5)),))</f>
        <v>VAT Phí chuyển tiền</v>
      </c>
      <c r="E16" s="698" t="str">
        <f ca="1">IF(ROWS($1:5)&gt;COUNT(Dong2),"",IF(OFFSET(TH!M$1,SMALL(Dong2,ROWS($1:5)),)=$I$6,OFFSET(TH!L$1,SMALL(Dong2,ROWS($1:5)),),OFFSET(TH!M$1,SMALL(Dong2,ROWS($1:5)),)))</f>
        <v>1331</v>
      </c>
      <c r="F16" s="7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01">
        <f t="shared" ca="1" si="0"/>
        <v>1349084</v>
      </c>
      <c r="I16" s="702"/>
      <c r="L16" s="99"/>
    </row>
    <row r="17" spans="1:17" s="681" customFormat="1" ht="18.75" customHeight="1">
      <c r="A17" s="698">
        <f ca="1">IF(ROWS($1:6)&gt;COUNT(Dong2),"",OFFSET(TH!C$1,SMALL(Dong2,ROWS($1:6)),))</f>
        <v>42657</v>
      </c>
      <c r="B17" s="698" t="str">
        <f ca="1">IF(ROWS($1:6)&gt;COUNT(Dong2),"",OFFSET(TH!D$1,SMALL(Dong2,ROWS($1:6)),))</f>
        <v>GBC</v>
      </c>
      <c r="C17" s="698">
        <f ca="1">IF(ROWS($1:6)&gt;COUNT(Dong2),"",OFFSET(TH!E$1,SMALL(Dong2,ROWS($1:6)),))</f>
        <v>42657</v>
      </c>
      <c r="D17" s="699" t="str">
        <f ca="1">IF(ROWS($1:6)&gt;COUNT(Dong2),"",OFFSET(TH!F$1,SMALL(Dong2,ROWS($1:6)),))</f>
        <v>Thu tiền hàng</v>
      </c>
      <c r="E17" s="698" t="str">
        <f ca="1">IF(ROWS($1:6)&gt;COUNT(Dong2),"",IF(OFFSET(TH!M$1,SMALL(Dong2,ROWS($1:6)),)=$I$6,OFFSET(TH!L$1,SMALL(Dong2,ROWS($1:6)),),OFFSET(TH!M$1,SMALL(Dong2,ROWS($1:6)),)))</f>
        <v>131</v>
      </c>
      <c r="F17" s="7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1">
        <f t="shared" ca="1" si="0"/>
        <v>44760034</v>
      </c>
      <c r="I17" s="702"/>
      <c r="L17" s="99"/>
    </row>
    <row r="18" spans="1:17" s="681" customFormat="1" ht="18.75" customHeight="1">
      <c r="A18" s="698">
        <f ca="1">IF(ROWS($1:7)&gt;COUNT(Dong2),"",OFFSET(TH!C$1,SMALL(Dong2,ROWS($1:7)),))</f>
        <v>42660</v>
      </c>
      <c r="B18" s="698" t="str">
        <f ca="1">IF(ROWS($1:7)&gt;COUNT(Dong2),"",OFFSET(TH!D$1,SMALL(Dong2,ROWS($1:7)),))</f>
        <v>GBN</v>
      </c>
      <c r="C18" s="698">
        <f ca="1">IF(ROWS($1:7)&gt;COUNT(Dong2),"",OFFSET(TH!E$1,SMALL(Dong2,ROWS($1:7)),))</f>
        <v>42660</v>
      </c>
      <c r="D18" s="699" t="str">
        <f ca="1">IF(ROWS($1:7)&gt;COUNT(Dong2),"",OFFSET(TH!F$1,SMALL(Dong2,ROWS($1:7)),))</f>
        <v>Thanh toán tiền thuê kho</v>
      </c>
      <c r="E18" s="698" t="str">
        <f ca="1">IF(ROWS($1:7)&gt;COUNT(Dong2),"",IF(OFFSET(TH!M$1,SMALL(Dong2,ROWS($1:7)),)=$I$6,OFFSET(TH!L$1,SMALL(Dong2,ROWS($1:7)),),OFFSET(TH!M$1,SMALL(Dong2,ROWS($1:7)),)))</f>
        <v>331</v>
      </c>
      <c r="F18" s="7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01">
        <f t="shared" ca="1" si="0"/>
        <v>4060034</v>
      </c>
      <c r="I18" s="702"/>
      <c r="L18" s="99"/>
    </row>
    <row r="19" spans="1:17" s="681" customFormat="1" ht="18.75" customHeight="1">
      <c r="A19" s="698">
        <f ca="1">IF(ROWS($1:8)&gt;COUNT(Dong2),"",OFFSET(TH!C$1,SMALL(Dong2,ROWS($1:8)),))</f>
        <v>42661</v>
      </c>
      <c r="B19" s="698" t="str">
        <f ca="1">IF(ROWS($1:8)&gt;COUNT(Dong2),"",OFFSET(TH!D$1,SMALL(Dong2,ROWS($1:8)),))</f>
        <v>T04</v>
      </c>
      <c r="C19" s="698">
        <f ca="1">IF(ROWS($1:8)&gt;COUNT(Dong2),"",OFFSET(TH!E$1,SMALL(Dong2,ROWS($1:8)),))</f>
        <v>42661</v>
      </c>
      <c r="D19" s="699" t="str">
        <f ca="1">IF(ROWS($1:8)&gt;COUNT(Dong2),"",OFFSET(TH!F$1,SMALL(Dong2,ROWS($1:8)),))</f>
        <v>Rút tiền mặt</v>
      </c>
      <c r="E19" s="698" t="str">
        <f ca="1">IF(ROWS($1:8)&gt;COUNT(Dong2),"",IF(OFFSET(TH!M$1,SMALL(Dong2,ROWS($1:8)),)=$I$6,OFFSET(TH!L$1,SMALL(Dong2,ROWS($1:8)),),OFFSET(TH!M$1,SMALL(Dong2,ROWS($1:8)),)))</f>
        <v>1111</v>
      </c>
      <c r="F19" s="7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01">
        <f t="shared" ca="1" si="0"/>
        <v>1060034</v>
      </c>
      <c r="I19" s="702"/>
      <c r="L19" s="99"/>
    </row>
    <row r="20" spans="1:17" s="681" customFormat="1" ht="18.75" customHeight="1">
      <c r="A20" s="698">
        <f ca="1">IF(ROWS($1:9)&gt;COUNT(Dong2),"",OFFSET(TH!C$1,SMALL(Dong2,ROWS($1:9)),))</f>
        <v>42662</v>
      </c>
      <c r="B20" s="698" t="str">
        <f ca="1">IF(ROWS($1:9)&gt;COUNT(Dong2),"",OFFSET(TH!D$1,SMALL(Dong2,ROWS($1:9)),))</f>
        <v>GBC</v>
      </c>
      <c r="C20" s="698">
        <f ca="1">IF(ROWS($1:9)&gt;COUNT(Dong2),"",OFFSET(TH!E$1,SMALL(Dong2,ROWS($1:9)),))</f>
        <v>42662</v>
      </c>
      <c r="D20" s="699" t="str">
        <f ca="1">IF(ROWS($1:9)&gt;COUNT(Dong2),"",OFFSET(TH!F$1,SMALL(Dong2,ROWS($1:9)),))</f>
        <v>Thu tiền hàng</v>
      </c>
      <c r="E20" s="698" t="str">
        <f ca="1">IF(ROWS($1:9)&gt;COUNT(Dong2),"",IF(OFFSET(TH!M$1,SMALL(Dong2,ROWS($1:9)),)=$I$6,OFFSET(TH!L$1,SMALL(Dong2,ROWS($1:9)),),OFFSET(TH!M$1,SMALL(Dong2,ROWS($1:9)),)))</f>
        <v>131</v>
      </c>
      <c r="F20" s="7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01">
        <f t="shared" ca="1" si="0"/>
        <v>105208034</v>
      </c>
      <c r="I20" s="702"/>
      <c r="L20" s="99"/>
    </row>
    <row r="21" spans="1:17" s="681" customFormat="1" ht="18.75" customHeight="1">
      <c r="A21" s="698">
        <f ca="1">IF(ROWS($1:10)&gt;COUNT(Dong2),"",OFFSET(TH!C$1,SMALL(Dong2,ROWS($1:10)),))</f>
        <v>42663</v>
      </c>
      <c r="B21" s="698" t="str">
        <f ca="1">IF(ROWS($1:10)&gt;COUNT(Dong2),"",OFFSET(TH!D$1,SMALL(Dong2,ROWS($1:10)),))</f>
        <v>T06</v>
      </c>
      <c r="C21" s="698">
        <f ca="1">IF(ROWS($1:10)&gt;COUNT(Dong2),"",OFFSET(TH!E$1,SMALL(Dong2,ROWS($1:10)),))</f>
        <v>42663</v>
      </c>
      <c r="D21" s="699" t="str">
        <f ca="1">IF(ROWS($1:10)&gt;COUNT(Dong2),"",OFFSET(TH!F$1,SMALL(Dong2,ROWS($1:10)),))</f>
        <v>Rút tiền mặt</v>
      </c>
      <c r="E21" s="698" t="str">
        <f ca="1">IF(ROWS($1:10)&gt;COUNT(Dong2),"",IF(OFFSET(TH!M$1,SMALL(Dong2,ROWS($1:10)),)=$I$6,OFFSET(TH!L$1,SMALL(Dong2,ROWS($1:10)),),OFFSET(TH!M$1,SMALL(Dong2,ROWS($1:10)),)))</f>
        <v>1111</v>
      </c>
      <c r="F21" s="7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01">
        <f t="shared" ca="1" si="0"/>
        <v>1208034</v>
      </c>
      <c r="I21" s="702"/>
      <c r="L21" s="99"/>
      <c r="Q21" s="686"/>
    </row>
    <row r="22" spans="1:17" s="681" customFormat="1" ht="18.75" customHeight="1">
      <c r="A22" s="698">
        <f ca="1">IF(ROWS($1:11)&gt;COUNT(Dong2),"",OFFSET(TH!C$1,SMALL(Dong2,ROWS($1:11)),))</f>
        <v>42667</v>
      </c>
      <c r="B22" s="698" t="str">
        <f ca="1">IF(ROWS($1:11)&gt;COUNT(Dong2),"",OFFSET(TH!D$1,SMALL(Dong2,ROWS($1:11)),))</f>
        <v>GBC</v>
      </c>
      <c r="C22" s="698">
        <f ca="1">IF(ROWS($1:11)&gt;COUNT(Dong2),"",OFFSET(TH!E$1,SMALL(Dong2,ROWS($1:11)),))</f>
        <v>42667</v>
      </c>
      <c r="D22" s="699" t="str">
        <f ca="1">IF(ROWS($1:11)&gt;COUNT(Dong2),"",OFFSET(TH!F$1,SMALL(Dong2,ROWS($1:11)),))</f>
        <v>Thu tiền hàng</v>
      </c>
      <c r="E22" s="698" t="str">
        <f ca="1">IF(ROWS($1:11)&gt;COUNT(Dong2),"",IF(OFFSET(TH!M$1,SMALL(Dong2,ROWS($1:11)),)=$I$6,OFFSET(TH!L$1,SMALL(Dong2,ROWS($1:11)),),OFFSET(TH!M$1,SMALL(Dong2,ROWS($1:11)),)))</f>
        <v>131</v>
      </c>
      <c r="F22" s="7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1">
        <f t="shared" ca="1" si="0"/>
        <v>4756194</v>
      </c>
      <c r="I22" s="702"/>
      <c r="L22" s="99"/>
    </row>
    <row r="23" spans="1:17" s="681" customFormat="1" ht="18.75" customHeight="1">
      <c r="A23" s="698">
        <f ca="1">IF(ROWS($1:12)&gt;COUNT(Dong2),"",OFFSET(TH!C$1,SMALL(Dong2,ROWS($1:12)),))</f>
        <v>42668</v>
      </c>
      <c r="B23" s="698" t="str">
        <f ca="1">IF(ROWS($1:12)&gt;COUNT(Dong2),"",OFFSET(TH!D$1,SMALL(Dong2,ROWS($1:12)),))</f>
        <v>GBC</v>
      </c>
      <c r="C23" s="698">
        <f ca="1">IF(ROWS($1:12)&gt;COUNT(Dong2),"",OFFSET(TH!E$1,SMALL(Dong2,ROWS($1:12)),))</f>
        <v>42668</v>
      </c>
      <c r="D23" s="699" t="str">
        <f ca="1">IF(ROWS($1:12)&gt;COUNT(Dong2),"",OFFSET(TH!F$1,SMALL(Dong2,ROWS($1:12)),))</f>
        <v>Lãi tiền gửi</v>
      </c>
      <c r="E23" s="698" t="str">
        <f ca="1">IF(ROWS($1:12)&gt;COUNT(Dong2),"",IF(OFFSET(TH!M$1,SMALL(Dong2,ROWS($1:12)),)=$I$6,OFFSET(TH!L$1,SMALL(Dong2,ROWS($1:12)),),OFFSET(TH!M$1,SMALL(Dong2,ROWS($1:12)),)))</f>
        <v>515</v>
      </c>
      <c r="F23" s="7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1">
        <f t="shared" ca="1" si="0"/>
        <v>4760866</v>
      </c>
      <c r="I23" s="702"/>
      <c r="L23" s="99"/>
      <c r="Q23" s="703"/>
    </row>
    <row r="24" spans="1:17" s="681" customFormat="1" ht="18.75" customHeight="1">
      <c r="A24" s="698">
        <f ca="1">IF(ROWS($1:13)&gt;COUNT(Dong2),"",OFFSET(TH!C$1,SMALL(Dong2,ROWS($1:13)),))</f>
        <v>42668</v>
      </c>
      <c r="B24" s="698" t="str">
        <f ca="1">IF(ROWS($1:13)&gt;COUNT(Dong2),"",OFFSET(TH!D$1,SMALL(Dong2,ROWS($1:13)),))</f>
        <v>T07</v>
      </c>
      <c r="C24" s="698">
        <f ca="1">IF(ROWS($1:13)&gt;COUNT(Dong2),"",OFFSET(TH!E$1,SMALL(Dong2,ROWS($1:13)),))</f>
        <v>42668</v>
      </c>
      <c r="D24" s="699" t="str">
        <f ca="1">IF(ROWS($1:13)&gt;COUNT(Dong2),"",OFFSET(TH!F$1,SMALL(Dong2,ROWS($1:13)),))</f>
        <v>Rút tiền mặt</v>
      </c>
      <c r="E24" s="698" t="str">
        <f ca="1">IF(ROWS($1:13)&gt;COUNT(Dong2),"",IF(OFFSET(TH!M$1,SMALL(Dong2,ROWS($1:13)),)=$I$6,OFFSET(TH!L$1,SMALL(Dong2,ROWS($1:13)),),OFFSET(TH!M$1,SMALL(Dong2,ROWS($1:13)),)))</f>
        <v>1111</v>
      </c>
      <c r="F24" s="7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01">
        <f t="shared" ca="1" si="0"/>
        <v>1260866</v>
      </c>
      <c r="I24" s="702"/>
      <c r="L24" s="99"/>
    </row>
    <row r="25" spans="1:17" s="681" customFormat="1" ht="18.75" customHeight="1">
      <c r="A25" s="698">
        <f ca="1">IF(ROWS($1:14)&gt;COUNT(Dong2),"",OFFSET(TH!C$1,SMALL(Dong2,ROWS($1:14)),))</f>
        <v>42668</v>
      </c>
      <c r="B25" s="698" t="str">
        <f ca="1">IF(ROWS($1:14)&gt;COUNT(Dong2),"",OFFSET(TH!D$1,SMALL(Dong2,ROWS($1:14)),))</f>
        <v>GBN</v>
      </c>
      <c r="C25" s="698">
        <f ca="1">IF(ROWS($1:14)&gt;COUNT(Dong2),"",OFFSET(TH!E$1,SMALL(Dong2,ROWS($1:14)),))</f>
        <v>42668</v>
      </c>
      <c r="D25" s="699" t="str">
        <f ca="1">IF(ROWS($1:14)&gt;COUNT(Dong2),"",OFFSET(TH!F$1,SMALL(Dong2,ROWS($1:14)),))</f>
        <v>Phí quản lý tài khoản</v>
      </c>
      <c r="E25" s="698" t="str">
        <f ca="1">IF(ROWS($1:14)&gt;COUNT(Dong2),"",IF(OFFSET(TH!M$1,SMALL(Dong2,ROWS($1:14)),)=$I$6,OFFSET(TH!L$1,SMALL(Dong2,ROWS($1:14)),),OFFSET(TH!M$1,SMALL(Dong2,ROWS($1:14)),)))</f>
        <v>642</v>
      </c>
      <c r="F25" s="7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1">
        <f t="shared" ca="1" si="0"/>
        <v>1250866</v>
      </c>
      <c r="I25" s="702"/>
      <c r="L25" s="99"/>
    </row>
    <row r="26" spans="1:17" s="681" customFormat="1" ht="18.75" customHeight="1">
      <c r="A26" s="698">
        <f ca="1">IF(ROWS($1:15)&gt;COUNT(Dong2),"",OFFSET(TH!C$1,SMALL(Dong2,ROWS($1:15)),))</f>
        <v>42668</v>
      </c>
      <c r="B26" s="698" t="str">
        <f ca="1">IF(ROWS($1:15)&gt;COUNT(Dong2),"",OFFSET(TH!D$1,SMALL(Dong2,ROWS($1:15)),))</f>
        <v>GBN</v>
      </c>
      <c r="C26" s="698">
        <f ca="1">IF(ROWS($1:15)&gt;COUNT(Dong2),"",OFFSET(TH!E$1,SMALL(Dong2,ROWS($1:15)),))</f>
        <v>42668</v>
      </c>
      <c r="D26" s="699" t="str">
        <f ca="1">IF(ROWS($1:15)&gt;COUNT(Dong2),"",OFFSET(TH!F$1,SMALL(Dong2,ROWS($1:15)),))</f>
        <v>VAT Phí quản lý tài khoản</v>
      </c>
      <c r="E26" s="698" t="str">
        <f ca="1">IF(ROWS($1:15)&gt;COUNT(Dong2),"",IF(OFFSET(TH!M$1,SMALL(Dong2,ROWS($1:15)),)=$I$6,OFFSET(TH!L$1,SMALL(Dong2,ROWS($1:15)),),OFFSET(TH!M$1,SMALL(Dong2,ROWS($1:15)),)))</f>
        <v>1331</v>
      </c>
      <c r="F26" s="7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01">
        <f t="shared" ca="1" si="0"/>
        <v>1249866</v>
      </c>
      <c r="I26" s="702"/>
      <c r="L26" s="99"/>
    </row>
    <row r="27" spans="1:17" s="681" customFormat="1" ht="18.75" customHeight="1">
      <c r="A27" s="698">
        <f ca="1">IF(ROWS($1:16)&gt;COUNT(Dong2),"",OFFSET(TH!C$1,SMALL(Dong2,ROWS($1:16)),))</f>
        <v>42677</v>
      </c>
      <c r="B27" s="698" t="str">
        <f ca="1">IF(ROWS($1:16)&gt;COUNT(Dong2),"",OFFSET(TH!D$1,SMALL(Dong2,ROWS($1:16)),))</f>
        <v>GBC</v>
      </c>
      <c r="C27" s="698">
        <f ca="1">IF(ROWS($1:16)&gt;COUNT(Dong2),"",OFFSET(TH!E$1,SMALL(Dong2,ROWS($1:16)),))</f>
        <v>42677</v>
      </c>
      <c r="D27" s="699" t="str">
        <f ca="1">IF(ROWS($1:16)&gt;COUNT(Dong2),"",OFFSET(TH!F$1,SMALL(Dong2,ROWS($1:16)),))</f>
        <v>Thu tiền hàng</v>
      </c>
      <c r="E27" s="698" t="str">
        <f ca="1">IF(ROWS($1:16)&gt;COUNT(Dong2),"",IF(OFFSET(TH!M$1,SMALL(Dong2,ROWS($1:16)),)=$I$6,OFFSET(TH!L$1,SMALL(Dong2,ROWS($1:16)),),OFFSET(TH!M$1,SMALL(Dong2,ROWS($1:16)),)))</f>
        <v>131</v>
      </c>
      <c r="F27" s="7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1">
        <f t="shared" ca="1" si="0"/>
        <v>85465866</v>
      </c>
      <c r="I27" s="702"/>
      <c r="L27" s="99"/>
    </row>
    <row r="28" spans="1:17" s="681" customFormat="1" ht="18.75" customHeight="1">
      <c r="A28" s="698">
        <f ca="1">IF(ROWS($1:17)&gt;COUNT(Dong2),"",OFFSET(TH!C$1,SMALL(Dong2,ROWS($1:17)),))</f>
        <v>42678</v>
      </c>
      <c r="B28" s="698" t="str">
        <f ca="1">IF(ROWS($1:17)&gt;COUNT(Dong2),"",OFFSET(TH!D$1,SMALL(Dong2,ROWS($1:17)),))</f>
        <v>GBN</v>
      </c>
      <c r="C28" s="698">
        <f ca="1">IF(ROWS($1:17)&gt;COUNT(Dong2),"",OFFSET(TH!E$1,SMALL(Dong2,ROWS($1:17)),))</f>
        <v>42678</v>
      </c>
      <c r="D28" s="699" t="str">
        <f ca="1">IF(ROWS($1:17)&gt;COUNT(Dong2),"",OFFSET(TH!F$1,SMALL(Dong2,ROWS($1:17)),))</f>
        <v>Thanh toán tiền hàng</v>
      </c>
      <c r="E28" s="698" t="str">
        <f ca="1">IF(ROWS($1:17)&gt;COUNT(Dong2),"",IF(OFFSET(TH!M$1,SMALL(Dong2,ROWS($1:17)),)=$I$6,OFFSET(TH!L$1,SMALL(Dong2,ROWS($1:17)),),OFFSET(TH!M$1,SMALL(Dong2,ROWS($1:17)),)))</f>
        <v>331</v>
      </c>
      <c r="F28" s="7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01">
        <f t="shared" ca="1" si="0"/>
        <v>60465866</v>
      </c>
      <c r="I28" s="702"/>
      <c r="L28" s="99"/>
    </row>
    <row r="29" spans="1:17" s="681" customFormat="1" ht="18.75" customHeight="1">
      <c r="A29" s="698">
        <f ca="1">IF(ROWS($1:18)&gt;COUNT(Dong2),"",OFFSET(TH!C$1,SMALL(Dong2,ROWS($1:18)),))</f>
        <v>42678</v>
      </c>
      <c r="B29" s="698" t="str">
        <f ca="1">IF(ROWS($1:18)&gt;COUNT(Dong2),"",OFFSET(TH!D$1,SMALL(Dong2,ROWS($1:18)),))</f>
        <v>GBN</v>
      </c>
      <c r="C29" s="698">
        <f ca="1">IF(ROWS($1:18)&gt;COUNT(Dong2),"",OFFSET(TH!E$1,SMALL(Dong2,ROWS($1:18)),))</f>
        <v>42678</v>
      </c>
      <c r="D29" s="699" t="str">
        <f ca="1">IF(ROWS($1:18)&gt;COUNT(Dong2),"",OFFSET(TH!F$1,SMALL(Dong2,ROWS($1:18)),))</f>
        <v>Phí chuyển tiền</v>
      </c>
      <c r="E29" s="698" t="str">
        <f ca="1">IF(ROWS($1:18)&gt;COUNT(Dong2),"",IF(OFFSET(TH!M$1,SMALL(Dong2,ROWS($1:18)),)=$I$6,OFFSET(TH!L$1,SMALL(Dong2,ROWS($1:18)),),OFFSET(TH!M$1,SMALL(Dong2,ROWS($1:18)),)))</f>
        <v>642</v>
      </c>
      <c r="F29" s="7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01">
        <f t="shared" ca="1" si="0"/>
        <v>60445866</v>
      </c>
      <c r="I29" s="702"/>
      <c r="L29" s="99"/>
    </row>
    <row r="30" spans="1:17" s="681" customFormat="1" ht="18.75" customHeight="1">
      <c r="A30" s="698">
        <f ca="1">IF(ROWS($1:19)&gt;COUNT(Dong2),"",OFFSET(TH!C$1,SMALL(Dong2,ROWS($1:19)),))</f>
        <v>42678</v>
      </c>
      <c r="B30" s="698" t="str">
        <f ca="1">IF(ROWS($1:19)&gt;COUNT(Dong2),"",OFFSET(TH!D$1,SMALL(Dong2,ROWS($1:19)),))</f>
        <v>GBN</v>
      </c>
      <c r="C30" s="698">
        <f ca="1">IF(ROWS($1:19)&gt;COUNT(Dong2),"",OFFSET(TH!E$1,SMALL(Dong2,ROWS($1:19)),))</f>
        <v>42678</v>
      </c>
      <c r="D30" s="699" t="str">
        <f ca="1">IF(ROWS($1:19)&gt;COUNT(Dong2),"",OFFSET(TH!F$1,SMALL(Dong2,ROWS($1:19)),))</f>
        <v>VAT Phí chuyển tiền</v>
      </c>
      <c r="E30" s="698" t="str">
        <f ca="1">IF(ROWS($1:19)&gt;COUNT(Dong2),"",IF(OFFSET(TH!M$1,SMALL(Dong2,ROWS($1:19)),)=$I$6,OFFSET(TH!L$1,SMALL(Dong2,ROWS($1:19)),),OFFSET(TH!M$1,SMALL(Dong2,ROWS($1:19)),)))</f>
        <v>1331</v>
      </c>
      <c r="F30" s="7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01">
        <f t="shared" ca="1" si="0"/>
        <v>60443866</v>
      </c>
      <c r="I30" s="702"/>
      <c r="L30" s="99"/>
    </row>
    <row r="31" spans="1:17" s="681" customFormat="1" ht="18.75" customHeight="1">
      <c r="A31" s="698">
        <f ca="1">IF(ROWS($1:20)&gt;COUNT(Dong2),"",OFFSET(TH!C$1,SMALL(Dong2,ROWS($1:20)),))</f>
        <v>42678</v>
      </c>
      <c r="B31" s="698" t="str">
        <f ca="1">IF(ROWS($1:20)&gt;COUNT(Dong2),"",OFFSET(TH!D$1,SMALL(Dong2,ROWS($1:20)),))</f>
        <v>T08</v>
      </c>
      <c r="C31" s="698">
        <f ca="1">IF(ROWS($1:20)&gt;COUNT(Dong2),"",OFFSET(TH!E$1,SMALL(Dong2,ROWS($1:20)),))</f>
        <v>42678</v>
      </c>
      <c r="D31" s="699" t="str">
        <f ca="1">IF(ROWS($1:20)&gt;COUNT(Dong2),"",OFFSET(TH!F$1,SMALL(Dong2,ROWS($1:20)),))</f>
        <v>Rút tiền mặt</v>
      </c>
      <c r="E31" s="698" t="str">
        <f ca="1">IF(ROWS($1:20)&gt;COUNT(Dong2),"",IF(OFFSET(TH!M$1,SMALL(Dong2,ROWS($1:20)),)=$I$6,OFFSET(TH!L$1,SMALL(Dong2,ROWS($1:20)),),OFFSET(TH!M$1,SMALL(Dong2,ROWS($1:20)),)))</f>
        <v>1111</v>
      </c>
      <c r="F31" s="7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01">
        <f t="shared" ca="1" si="0"/>
        <v>1443866</v>
      </c>
      <c r="I31" s="702"/>
      <c r="L31" s="99"/>
    </row>
    <row r="32" spans="1:17" s="681" customFormat="1" ht="18.75" customHeight="1">
      <c r="A32" s="698">
        <f ca="1">IF(ROWS($1:21)&gt;COUNT(Dong2),"",OFFSET(TH!C$1,SMALL(Dong2,ROWS($1:21)),))</f>
        <v>42684</v>
      </c>
      <c r="B32" s="698" t="str">
        <f ca="1">IF(ROWS($1:21)&gt;COUNT(Dong2),"",OFFSET(TH!D$1,SMALL(Dong2,ROWS($1:21)),))</f>
        <v>GBC</v>
      </c>
      <c r="C32" s="698">
        <f ca="1">IF(ROWS($1:21)&gt;COUNT(Dong2),"",OFFSET(TH!E$1,SMALL(Dong2,ROWS($1:21)),))</f>
        <v>42684</v>
      </c>
      <c r="D32" s="699" t="str">
        <f ca="1">IF(ROWS($1:21)&gt;COUNT(Dong2),"",OFFSET(TH!F$1,SMALL(Dong2,ROWS($1:21)),))</f>
        <v>Thu tiền hàng</v>
      </c>
      <c r="E32" s="698" t="str">
        <f ca="1">IF(ROWS($1:21)&gt;COUNT(Dong2),"",IF(OFFSET(TH!M$1,SMALL(Dong2,ROWS($1:21)),)=$I$6,OFFSET(TH!L$1,SMALL(Dong2,ROWS($1:21)),),OFFSET(TH!M$1,SMALL(Dong2,ROWS($1:21)),)))</f>
        <v>131</v>
      </c>
      <c r="F32" s="7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1">
        <f t="shared" ca="1" si="0"/>
        <v>31314366</v>
      </c>
      <c r="I32" s="702"/>
      <c r="L32" s="99"/>
    </row>
    <row r="33" spans="1:12" s="681" customFormat="1" ht="18.75" customHeight="1">
      <c r="A33" s="698">
        <f ca="1">IF(ROWS($1:22)&gt;COUNT(Dong2),"",OFFSET(TH!C$1,SMALL(Dong2,ROWS($1:22)),))</f>
        <v>42685</v>
      </c>
      <c r="B33" s="698" t="str">
        <f ca="1">IF(ROWS($1:22)&gt;COUNT(Dong2),"",OFFSET(TH!D$1,SMALL(Dong2,ROWS($1:22)),))</f>
        <v>GBN</v>
      </c>
      <c r="C33" s="698">
        <f ca="1">IF(ROWS($1:22)&gt;COUNT(Dong2),"",OFFSET(TH!E$1,SMALL(Dong2,ROWS($1:22)),))</f>
        <v>42685</v>
      </c>
      <c r="D33" s="699" t="str">
        <f ca="1">IF(ROWS($1:22)&gt;COUNT(Dong2),"",OFFSET(TH!F$1,SMALL(Dong2,ROWS($1:22)),))</f>
        <v>Thanh toán tiền hàng</v>
      </c>
      <c r="E33" s="698" t="str">
        <f ca="1">IF(ROWS($1:22)&gt;COUNT(Dong2),"",IF(OFFSET(TH!M$1,SMALL(Dong2,ROWS($1:22)),)=$I$6,OFFSET(TH!L$1,SMALL(Dong2,ROWS($1:22)),),OFFSET(TH!M$1,SMALL(Dong2,ROWS($1:22)),)))</f>
        <v>331</v>
      </c>
      <c r="F33" s="7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01">
        <f t="shared" ca="1" si="0"/>
        <v>19314366</v>
      </c>
      <c r="I33" s="702"/>
      <c r="L33" s="99"/>
    </row>
    <row r="34" spans="1:12" s="681" customFormat="1" ht="18.75" customHeight="1">
      <c r="A34" s="698">
        <f ca="1">IF(ROWS($1:23)&gt;COUNT(Dong2),"",OFFSET(TH!C$1,SMALL(Dong2,ROWS($1:23)),))</f>
        <v>42685</v>
      </c>
      <c r="B34" s="698" t="str">
        <f ca="1">IF(ROWS($1:23)&gt;COUNT(Dong2),"",OFFSET(TH!D$1,SMALL(Dong2,ROWS($1:23)),))</f>
        <v>GBN</v>
      </c>
      <c r="C34" s="698">
        <f ca="1">IF(ROWS($1:23)&gt;COUNT(Dong2),"",OFFSET(TH!E$1,SMALL(Dong2,ROWS($1:23)),))</f>
        <v>42685</v>
      </c>
      <c r="D34" s="699" t="str">
        <f ca="1">IF(ROWS($1:23)&gt;COUNT(Dong2),"",OFFSET(TH!F$1,SMALL(Dong2,ROWS($1:23)),))</f>
        <v>Phí chuyển tiền</v>
      </c>
      <c r="E34" s="698" t="str">
        <f ca="1">IF(ROWS($1:23)&gt;COUNT(Dong2),"",IF(OFFSET(TH!M$1,SMALL(Dong2,ROWS($1:23)),)=$I$6,OFFSET(TH!L$1,SMALL(Dong2,ROWS($1:23)),),OFFSET(TH!M$1,SMALL(Dong2,ROWS($1:23)),)))</f>
        <v>642</v>
      </c>
      <c r="F34" s="7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01">
        <f t="shared" ca="1" si="0"/>
        <v>19294366</v>
      </c>
      <c r="I34" s="702"/>
      <c r="L34" s="99"/>
    </row>
    <row r="35" spans="1:12" s="681" customFormat="1" ht="18.75" customHeight="1">
      <c r="A35" s="698">
        <f ca="1">IF(ROWS($1:24)&gt;COUNT(Dong2),"",OFFSET(TH!C$1,SMALL(Dong2,ROWS($1:24)),))</f>
        <v>42685</v>
      </c>
      <c r="B35" s="698" t="str">
        <f ca="1">IF(ROWS($1:24)&gt;COUNT(Dong2),"",OFFSET(TH!D$1,SMALL(Dong2,ROWS($1:24)),))</f>
        <v>GBN</v>
      </c>
      <c r="C35" s="698">
        <f ca="1">IF(ROWS($1:24)&gt;COUNT(Dong2),"",OFFSET(TH!E$1,SMALL(Dong2,ROWS($1:24)),))</f>
        <v>42685</v>
      </c>
      <c r="D35" s="699" t="str">
        <f ca="1">IF(ROWS($1:24)&gt;COUNT(Dong2),"",OFFSET(TH!F$1,SMALL(Dong2,ROWS($1:24)),))</f>
        <v>VAT Phí chuyển tiền</v>
      </c>
      <c r="E35" s="698" t="str">
        <f ca="1">IF(ROWS($1:24)&gt;COUNT(Dong2),"",IF(OFFSET(TH!M$1,SMALL(Dong2,ROWS($1:24)),)=$I$6,OFFSET(TH!L$1,SMALL(Dong2,ROWS($1:24)),),OFFSET(TH!M$1,SMALL(Dong2,ROWS($1:24)),)))</f>
        <v>1331</v>
      </c>
      <c r="F35" s="7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01">
        <f t="shared" ca="1" si="0"/>
        <v>19292366</v>
      </c>
      <c r="I35" s="702"/>
      <c r="L35" s="99"/>
    </row>
    <row r="36" spans="1:12" s="681" customFormat="1" ht="18.75" customHeight="1">
      <c r="A36" s="698">
        <f ca="1">IF(ROWS($1:25)&gt;COUNT(Dong2),"",OFFSET(TH!C$1,SMALL(Dong2,ROWS($1:25)),))</f>
        <v>42685</v>
      </c>
      <c r="B36" s="698" t="str">
        <f ca="1">IF(ROWS($1:25)&gt;COUNT(Dong2),"",OFFSET(TH!D$1,SMALL(Dong2,ROWS($1:25)),))</f>
        <v>T11</v>
      </c>
      <c r="C36" s="698">
        <f ca="1">IF(ROWS($1:25)&gt;COUNT(Dong2),"",OFFSET(TH!E$1,SMALL(Dong2,ROWS($1:25)),))</f>
        <v>42685</v>
      </c>
      <c r="D36" s="699" t="str">
        <f ca="1">IF(ROWS($1:25)&gt;COUNT(Dong2),"",OFFSET(TH!F$1,SMALL(Dong2,ROWS($1:25)),))</f>
        <v>Rút tiền mặt</v>
      </c>
      <c r="E36" s="698" t="str">
        <f ca="1">IF(ROWS($1:25)&gt;COUNT(Dong2),"",IF(OFFSET(TH!M$1,SMALL(Dong2,ROWS($1:25)),)=$I$6,OFFSET(TH!L$1,SMALL(Dong2,ROWS($1:25)),),OFFSET(TH!M$1,SMALL(Dong2,ROWS($1:25)),)))</f>
        <v>1111</v>
      </c>
      <c r="F36" s="7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01">
        <f t="shared" ca="1" si="0"/>
        <v>1292366</v>
      </c>
      <c r="I36" s="702"/>
      <c r="L36" s="99"/>
    </row>
    <row r="37" spans="1:12" s="681" customFormat="1" ht="18.75" customHeight="1">
      <c r="A37" s="698">
        <f ca="1">IF(ROWS($1:26)&gt;COUNT(Dong2),"",OFFSET(TH!C$1,SMALL(Dong2,ROWS($1:26)),))</f>
        <v>42688</v>
      </c>
      <c r="B37" s="698" t="str">
        <f ca="1">IF(ROWS($1:26)&gt;COUNT(Dong2),"",OFFSET(TH!D$1,SMALL(Dong2,ROWS($1:26)),))</f>
        <v>C18</v>
      </c>
      <c r="C37" s="698">
        <f ca="1">IF(ROWS($1:26)&gt;COUNT(Dong2),"",OFFSET(TH!E$1,SMALL(Dong2,ROWS($1:26)),))</f>
        <v>42688</v>
      </c>
      <c r="D37" s="699" t="str">
        <f ca="1">IF(ROWS($1:26)&gt;COUNT(Dong2),"",OFFSET(TH!F$1,SMALL(Dong2,ROWS($1:26)),))</f>
        <v>Nộp tiền mặt</v>
      </c>
      <c r="E37" s="698" t="str">
        <f ca="1">IF(ROWS($1:26)&gt;COUNT(Dong2),"",IF(OFFSET(TH!M$1,SMALL(Dong2,ROWS($1:26)),)=$I$6,OFFSET(TH!L$1,SMALL(Dong2,ROWS($1:26)),),OFFSET(TH!M$1,SMALL(Dong2,ROWS($1:26)),)))</f>
        <v>1111</v>
      </c>
      <c r="F37" s="7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01">
        <f t="shared" ca="1" si="0"/>
        <v>21292366</v>
      </c>
      <c r="I37" s="702"/>
      <c r="L37" s="99"/>
    </row>
    <row r="38" spans="1:12" s="681" customFormat="1" ht="18.75" customHeight="1">
      <c r="A38" s="698">
        <f ca="1">IF(ROWS($1:27)&gt;COUNT(Dong2),"",OFFSET(TH!C$1,SMALL(Dong2,ROWS($1:27)),))</f>
        <v>42688</v>
      </c>
      <c r="B38" s="698" t="str">
        <f ca="1">IF(ROWS($1:27)&gt;COUNT(Dong2),"",OFFSET(TH!D$1,SMALL(Dong2,ROWS($1:27)),))</f>
        <v>GBN</v>
      </c>
      <c r="C38" s="698">
        <f ca="1">IF(ROWS($1:27)&gt;COUNT(Dong2),"",OFFSET(TH!E$1,SMALL(Dong2,ROWS($1:27)),))</f>
        <v>42688</v>
      </c>
      <c r="D38" s="699" t="str">
        <f ca="1">IF(ROWS($1:27)&gt;COUNT(Dong2),"",OFFSET(TH!F$1,SMALL(Dong2,ROWS($1:27)),))</f>
        <v>Phí nộp tiền chuyển trong ngày</v>
      </c>
      <c r="E38" s="698" t="str">
        <f ca="1">IF(ROWS($1:27)&gt;COUNT(Dong2),"",IF(OFFSET(TH!M$1,SMALL(Dong2,ROWS($1:27)),)=$I$6,OFFSET(TH!L$1,SMALL(Dong2,ROWS($1:27)),),OFFSET(TH!M$1,SMALL(Dong2,ROWS($1:27)),)))</f>
        <v>642</v>
      </c>
      <c r="F38" s="7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01">
        <f t="shared" ca="1" si="0"/>
        <v>21272366</v>
      </c>
      <c r="I38" s="702"/>
      <c r="L38" s="99"/>
    </row>
    <row r="39" spans="1:12" s="681" customFormat="1" ht="18.75" customHeight="1">
      <c r="A39" s="698">
        <f ca="1">IF(ROWS($1:28)&gt;COUNT(Dong2),"",OFFSET(TH!C$1,SMALL(Dong2,ROWS($1:28)),))</f>
        <v>42688</v>
      </c>
      <c r="B39" s="698" t="str">
        <f ca="1">IF(ROWS($1:28)&gt;COUNT(Dong2),"",OFFSET(TH!D$1,SMALL(Dong2,ROWS($1:28)),))</f>
        <v>GBN</v>
      </c>
      <c r="C39" s="698">
        <f ca="1">IF(ROWS($1:28)&gt;COUNT(Dong2),"",OFFSET(TH!E$1,SMALL(Dong2,ROWS($1:28)),))</f>
        <v>42688</v>
      </c>
      <c r="D39" s="699" t="str">
        <f ca="1">IF(ROWS($1:28)&gt;COUNT(Dong2),"",OFFSET(TH!F$1,SMALL(Dong2,ROWS($1:28)),))</f>
        <v>VAT Phí nộp tiền chuyển trong ngày</v>
      </c>
      <c r="E39" s="698" t="str">
        <f ca="1">IF(ROWS($1:28)&gt;COUNT(Dong2),"",IF(OFFSET(TH!M$1,SMALL(Dong2,ROWS($1:28)),)=$I$6,OFFSET(TH!L$1,SMALL(Dong2,ROWS($1:28)),),OFFSET(TH!M$1,SMALL(Dong2,ROWS($1:28)),)))</f>
        <v>1331</v>
      </c>
      <c r="F39" s="7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01">
        <f t="shared" ca="1" si="0"/>
        <v>21270366</v>
      </c>
      <c r="I39" s="702"/>
      <c r="L39" s="99"/>
    </row>
    <row r="40" spans="1:12" s="681" customFormat="1" ht="18.75" customHeight="1">
      <c r="A40" s="698">
        <f ca="1">IF(ROWS($1:29)&gt;COUNT(Dong2),"",OFFSET(TH!C$1,SMALL(Dong2,ROWS($1:29)),))</f>
        <v>42688</v>
      </c>
      <c r="B40" s="698" t="str">
        <f ca="1">IF(ROWS($1:29)&gt;COUNT(Dong2),"",OFFSET(TH!D$1,SMALL(Dong2,ROWS($1:29)),))</f>
        <v>GBN</v>
      </c>
      <c r="C40" s="698">
        <f ca="1">IF(ROWS($1:29)&gt;COUNT(Dong2),"",OFFSET(TH!E$1,SMALL(Dong2,ROWS($1:29)),))</f>
        <v>42688</v>
      </c>
      <c r="D40" s="699" t="str">
        <f ca="1">IF(ROWS($1:29)&gt;COUNT(Dong2),"",OFFSET(TH!F$1,SMALL(Dong2,ROWS($1:29)),))</f>
        <v>Thanh toán tiền hàng</v>
      </c>
      <c r="E40" s="698" t="str">
        <f ca="1">IF(ROWS($1:29)&gt;COUNT(Dong2),"",IF(OFFSET(TH!M$1,SMALL(Dong2,ROWS($1:29)),)=$I$6,OFFSET(TH!L$1,SMALL(Dong2,ROWS($1:29)),),OFFSET(TH!M$1,SMALL(Dong2,ROWS($1:29)),)))</f>
        <v>331</v>
      </c>
      <c r="F40" s="7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01">
        <f t="shared" ca="1" si="0"/>
        <v>1270366</v>
      </c>
      <c r="I40" s="702"/>
    </row>
    <row r="41" spans="1:12" s="681" customFormat="1" ht="18.75" customHeight="1">
      <c r="A41" s="698">
        <f ca="1">IF(ROWS($1:30)&gt;COUNT(Dong2),"",OFFSET(TH!C$1,SMALL(Dong2,ROWS($1:30)),))</f>
        <v>42688</v>
      </c>
      <c r="B41" s="698" t="str">
        <f ca="1">IF(ROWS($1:30)&gt;COUNT(Dong2),"",OFFSET(TH!D$1,SMALL(Dong2,ROWS($1:30)),))</f>
        <v>GBN</v>
      </c>
      <c r="C41" s="698">
        <f ca="1">IF(ROWS($1:30)&gt;COUNT(Dong2),"",OFFSET(TH!E$1,SMALL(Dong2,ROWS($1:30)),))</f>
        <v>42688</v>
      </c>
      <c r="D41" s="699" t="str">
        <f ca="1">IF(ROWS($1:30)&gt;COUNT(Dong2),"",OFFSET(TH!F$1,SMALL(Dong2,ROWS($1:30)),))</f>
        <v>Phí chuyển tiền</v>
      </c>
      <c r="E41" s="698" t="str">
        <f ca="1">IF(ROWS($1:30)&gt;COUNT(Dong2),"",IF(OFFSET(TH!M$1,SMALL(Dong2,ROWS($1:30)),)=$I$6,OFFSET(TH!L$1,SMALL(Dong2,ROWS($1:30)),),OFFSET(TH!M$1,SMALL(Dong2,ROWS($1:30)),)))</f>
        <v>642</v>
      </c>
      <c r="F41" s="7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01">
        <f t="shared" ca="1" si="0"/>
        <v>1260366</v>
      </c>
      <c r="I41" s="702"/>
    </row>
    <row r="42" spans="1:12" s="681" customFormat="1" ht="18.75" customHeight="1">
      <c r="A42" s="698">
        <f ca="1">IF(ROWS($1:31)&gt;COUNT(Dong2),"",OFFSET(TH!C$1,SMALL(Dong2,ROWS($1:31)),))</f>
        <v>42688</v>
      </c>
      <c r="B42" s="698" t="str">
        <f ca="1">IF(ROWS($1:31)&gt;COUNT(Dong2),"",OFFSET(TH!D$1,SMALL(Dong2,ROWS($1:31)),))</f>
        <v>GBN</v>
      </c>
      <c r="C42" s="698">
        <f ca="1">IF(ROWS($1:31)&gt;COUNT(Dong2),"",OFFSET(TH!E$1,SMALL(Dong2,ROWS($1:31)),))</f>
        <v>42688</v>
      </c>
      <c r="D42" s="699" t="str">
        <f ca="1">IF(ROWS($1:31)&gt;COUNT(Dong2),"",OFFSET(TH!F$1,SMALL(Dong2,ROWS($1:31)),))</f>
        <v>VAT Phí chuyển tiền</v>
      </c>
      <c r="E42" s="698" t="str">
        <f ca="1">IF(ROWS($1:31)&gt;COUNT(Dong2),"",IF(OFFSET(TH!M$1,SMALL(Dong2,ROWS($1:31)),)=$I$6,OFFSET(TH!L$1,SMALL(Dong2,ROWS($1:31)),),OFFSET(TH!M$1,SMALL(Dong2,ROWS($1:31)),)))</f>
        <v>1331</v>
      </c>
      <c r="F42" s="7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01">
        <f t="shared" ca="1" si="0"/>
        <v>1259366</v>
      </c>
      <c r="I42" s="702"/>
    </row>
    <row r="43" spans="1:12" s="681" customFormat="1" ht="18.75" customHeight="1">
      <c r="A43" s="698">
        <f ca="1">IF(ROWS($1:32)&gt;COUNT(Dong2),"",OFFSET(TH!C$1,SMALL(Dong2,ROWS($1:32)),))</f>
        <v>42689</v>
      </c>
      <c r="B43" s="698" t="str">
        <f ca="1">IF(ROWS($1:32)&gt;COUNT(Dong2),"",OFFSET(TH!D$1,SMALL(Dong2,ROWS($1:32)),))</f>
        <v>GBC</v>
      </c>
      <c r="C43" s="698">
        <f ca="1">IF(ROWS($1:32)&gt;COUNT(Dong2),"",OFFSET(TH!E$1,SMALL(Dong2,ROWS($1:32)),))</f>
        <v>42689</v>
      </c>
      <c r="D43" s="699" t="str">
        <f ca="1">IF(ROWS($1:32)&gt;COUNT(Dong2),"",OFFSET(TH!F$1,SMALL(Dong2,ROWS($1:32)),))</f>
        <v>Thu tiền hàng</v>
      </c>
      <c r="E43" s="698" t="str">
        <f ca="1">IF(ROWS($1:32)&gt;COUNT(Dong2),"",IF(OFFSET(TH!M$1,SMALL(Dong2,ROWS($1:32)),)=$I$6,OFFSET(TH!L$1,SMALL(Dong2,ROWS($1:32)),),OFFSET(TH!M$1,SMALL(Dong2,ROWS($1:32)),)))</f>
        <v>131</v>
      </c>
      <c r="F43" s="7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1">
        <f t="shared" ca="1" si="0"/>
        <v>42751366</v>
      </c>
      <c r="I43" s="702"/>
    </row>
    <row r="44" spans="1:12" s="681" customFormat="1" ht="18.75" customHeight="1">
      <c r="A44" s="698">
        <f ca="1">IF(ROWS($1:33)&gt;COUNT(Dong2),"",OFFSET(TH!C$1,SMALL(Dong2,ROWS($1:33)),))</f>
        <v>42689</v>
      </c>
      <c r="B44" s="698" t="str">
        <f ca="1">IF(ROWS($1:33)&gt;COUNT(Dong2),"",OFFSET(TH!D$1,SMALL(Dong2,ROWS($1:33)),))</f>
        <v>T12</v>
      </c>
      <c r="C44" s="698">
        <f ca="1">IF(ROWS($1:33)&gt;COUNT(Dong2),"",OFFSET(TH!E$1,SMALL(Dong2,ROWS($1:33)),))</f>
        <v>42689</v>
      </c>
      <c r="D44" s="699" t="str">
        <f ca="1">IF(ROWS($1:33)&gt;COUNT(Dong2),"",OFFSET(TH!F$1,SMALL(Dong2,ROWS($1:33)),))</f>
        <v>Rút tiền mặt</v>
      </c>
      <c r="E44" s="698" t="str">
        <f ca="1">IF(ROWS($1:33)&gt;COUNT(Dong2),"",IF(OFFSET(TH!M$1,SMALL(Dong2,ROWS($1:33)),)=$I$6,OFFSET(TH!L$1,SMALL(Dong2,ROWS($1:33)),),OFFSET(TH!M$1,SMALL(Dong2,ROWS($1:33)),)))</f>
        <v>1111</v>
      </c>
      <c r="F44" s="7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01">
        <f t="shared" ca="1" si="0"/>
        <v>32751366</v>
      </c>
      <c r="I44" s="702"/>
    </row>
    <row r="45" spans="1:12" s="681" customFormat="1" ht="18.75" customHeight="1">
      <c r="A45" s="698">
        <f ca="1">IF(ROWS($1:34)&gt;COUNT(Dong2),"",OFFSET(TH!C$1,SMALL(Dong2,ROWS($1:34)),))</f>
        <v>42691</v>
      </c>
      <c r="B45" s="698" t="str">
        <f ca="1">IF(ROWS($1:34)&gt;COUNT(Dong2),"",OFFSET(TH!D$1,SMALL(Dong2,ROWS($1:34)),))</f>
        <v>GBC</v>
      </c>
      <c r="C45" s="698">
        <f ca="1">IF(ROWS($1:34)&gt;COUNT(Dong2),"",OFFSET(TH!E$1,SMALL(Dong2,ROWS($1:34)),))</f>
        <v>42691</v>
      </c>
      <c r="D45" s="699" t="str">
        <f ca="1">IF(ROWS($1:34)&gt;COUNT(Dong2),"",OFFSET(TH!F$1,SMALL(Dong2,ROWS($1:34)),))</f>
        <v>Thu tiền hàng</v>
      </c>
      <c r="E45" s="698" t="str">
        <f ca="1">IF(ROWS($1:34)&gt;COUNT(Dong2),"",IF(OFFSET(TH!M$1,SMALL(Dong2,ROWS($1:34)),)=$I$6,OFFSET(TH!L$1,SMALL(Dong2,ROWS($1:34)),),OFFSET(TH!M$1,SMALL(Dong2,ROWS($1:34)),)))</f>
        <v>131</v>
      </c>
      <c r="F45" s="7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1">
        <f t="shared" ca="1" si="0"/>
        <v>96507366</v>
      </c>
      <c r="I45" s="702"/>
    </row>
    <row r="46" spans="1:12" s="681" customFormat="1" ht="18.75" customHeight="1">
      <c r="A46" s="698">
        <f ca="1">IF(ROWS($1:35)&gt;COUNT(Dong2),"",OFFSET(TH!C$1,SMALL(Dong2,ROWS($1:35)),))</f>
        <v>42692</v>
      </c>
      <c r="B46" s="698" t="str">
        <f ca="1">IF(ROWS($1:35)&gt;COUNT(Dong2),"",OFFSET(TH!D$1,SMALL(Dong2,ROWS($1:35)),))</f>
        <v>GBN</v>
      </c>
      <c r="C46" s="698">
        <f ca="1">IF(ROWS($1:35)&gt;COUNT(Dong2),"",OFFSET(TH!E$1,SMALL(Dong2,ROWS($1:35)),))</f>
        <v>42692</v>
      </c>
      <c r="D46" s="699" t="str">
        <f ca="1">IF(ROWS($1:35)&gt;COUNT(Dong2),"",OFFSET(TH!F$1,SMALL(Dong2,ROWS($1:35)),))</f>
        <v>Thanh toán tiền thuê kho</v>
      </c>
      <c r="E46" s="698" t="str">
        <f ca="1">IF(ROWS($1:35)&gt;COUNT(Dong2),"",IF(OFFSET(TH!M$1,SMALL(Dong2,ROWS($1:35)),)=$I$6,OFFSET(TH!L$1,SMALL(Dong2,ROWS($1:35)),),OFFSET(TH!M$1,SMALL(Dong2,ROWS($1:35)),)))</f>
        <v>331</v>
      </c>
      <c r="F46" s="7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01">
        <f t="shared" ca="1" si="0"/>
        <v>55807366</v>
      </c>
      <c r="I46" s="702"/>
    </row>
    <row r="47" spans="1:12" s="681" customFormat="1" ht="18.75" customHeight="1">
      <c r="A47" s="698">
        <f ca="1">IF(ROWS($1:36)&gt;COUNT(Dong2),"",OFFSET(TH!C$1,SMALL(Dong2,ROWS($1:36)),))</f>
        <v>42692</v>
      </c>
      <c r="B47" s="698" t="str">
        <f ca="1">IF(ROWS($1:36)&gt;COUNT(Dong2),"",OFFSET(TH!D$1,SMALL(Dong2,ROWS($1:36)),))</f>
        <v>GBN</v>
      </c>
      <c r="C47" s="698">
        <f ca="1">IF(ROWS($1:36)&gt;COUNT(Dong2),"",OFFSET(TH!E$1,SMALL(Dong2,ROWS($1:36)),))</f>
        <v>42692</v>
      </c>
      <c r="D47" s="699" t="str">
        <f ca="1">IF(ROWS($1:36)&gt;COUNT(Dong2),"",OFFSET(TH!F$1,SMALL(Dong2,ROWS($1:36)),))</f>
        <v>Phí chuyển tiền</v>
      </c>
      <c r="E47" s="698" t="str">
        <f ca="1">IF(ROWS($1:36)&gt;COUNT(Dong2),"",IF(OFFSET(TH!M$1,SMALL(Dong2,ROWS($1:36)),)=$I$6,OFFSET(TH!L$1,SMALL(Dong2,ROWS($1:36)),),OFFSET(TH!M$1,SMALL(Dong2,ROWS($1:36)),)))</f>
        <v>642</v>
      </c>
      <c r="F47" s="7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01">
        <f t="shared" ca="1" si="0"/>
        <v>55787366</v>
      </c>
      <c r="I47" s="702"/>
    </row>
    <row r="48" spans="1:12" s="681" customFormat="1" ht="18.75" customHeight="1">
      <c r="A48" s="698">
        <f ca="1">IF(ROWS($1:37)&gt;COUNT(Dong2),"",OFFSET(TH!C$1,SMALL(Dong2,ROWS($1:37)),))</f>
        <v>42692</v>
      </c>
      <c r="B48" s="698" t="str">
        <f ca="1">IF(ROWS($1:37)&gt;COUNT(Dong2),"",OFFSET(TH!D$1,SMALL(Dong2,ROWS($1:37)),))</f>
        <v>GBN</v>
      </c>
      <c r="C48" s="698">
        <f ca="1">IF(ROWS($1:37)&gt;COUNT(Dong2),"",OFFSET(TH!E$1,SMALL(Dong2,ROWS($1:37)),))</f>
        <v>42692</v>
      </c>
      <c r="D48" s="699" t="str">
        <f ca="1">IF(ROWS($1:37)&gt;COUNT(Dong2),"",OFFSET(TH!F$1,SMALL(Dong2,ROWS($1:37)),))</f>
        <v>VAT Phí chuyển tiền</v>
      </c>
      <c r="E48" s="698" t="str">
        <f ca="1">IF(ROWS($1:37)&gt;COUNT(Dong2),"",IF(OFFSET(TH!M$1,SMALL(Dong2,ROWS($1:37)),)=$I$6,OFFSET(TH!L$1,SMALL(Dong2,ROWS($1:37)),),OFFSET(TH!M$1,SMALL(Dong2,ROWS($1:37)),)))</f>
        <v>1331</v>
      </c>
      <c r="F48" s="7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01">
        <f t="shared" ca="1" si="0"/>
        <v>55785366</v>
      </c>
      <c r="I48" s="702"/>
    </row>
    <row r="49" spans="1:9" s="681" customFormat="1" ht="18.75" customHeight="1">
      <c r="A49" s="698">
        <f ca="1">IF(ROWS($1:38)&gt;COUNT(Dong2),"",OFFSET(TH!C$1,SMALL(Dong2,ROWS($1:38)),))</f>
        <v>42692</v>
      </c>
      <c r="B49" s="698" t="str">
        <f ca="1">IF(ROWS($1:38)&gt;COUNT(Dong2),"",OFFSET(TH!D$1,SMALL(Dong2,ROWS($1:38)),))</f>
        <v>T13</v>
      </c>
      <c r="C49" s="698">
        <f ca="1">IF(ROWS($1:38)&gt;COUNT(Dong2),"",OFFSET(TH!E$1,SMALL(Dong2,ROWS($1:38)),))</f>
        <v>42692</v>
      </c>
      <c r="D49" s="699" t="str">
        <f ca="1">IF(ROWS($1:38)&gt;COUNT(Dong2),"",OFFSET(TH!F$1,SMALL(Dong2,ROWS($1:38)),))</f>
        <v>Rút tiền mặt</v>
      </c>
      <c r="E49" s="698" t="str">
        <f ca="1">IF(ROWS($1:38)&gt;COUNT(Dong2),"",IF(OFFSET(TH!M$1,SMALL(Dong2,ROWS($1:38)),)=$I$6,OFFSET(TH!L$1,SMALL(Dong2,ROWS($1:38)),),OFFSET(TH!M$1,SMALL(Dong2,ROWS($1:38)),)))</f>
        <v>1111</v>
      </c>
      <c r="F49" s="7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01">
        <f t="shared" ca="1" si="0"/>
        <v>1485366</v>
      </c>
      <c r="I49" s="702"/>
    </row>
    <row r="50" spans="1:9" s="681" customFormat="1" ht="18.75" customHeight="1">
      <c r="A50" s="698">
        <f ca="1">IF(ROWS($1:39)&gt;COUNT(Dong2),"",OFFSET(TH!C$1,SMALL(Dong2,ROWS($1:39)),))</f>
        <v>42697</v>
      </c>
      <c r="B50" s="698" t="str">
        <f ca="1">IF(ROWS($1:39)&gt;COUNT(Dong2),"",OFFSET(TH!D$1,SMALL(Dong2,ROWS($1:39)),))</f>
        <v>GBC</v>
      </c>
      <c r="C50" s="698">
        <f ca="1">IF(ROWS($1:39)&gt;COUNT(Dong2),"",OFFSET(TH!E$1,SMALL(Dong2,ROWS($1:39)),))</f>
        <v>42697</v>
      </c>
      <c r="D50" s="699" t="str">
        <f ca="1">IF(ROWS($1:39)&gt;COUNT(Dong2),"",OFFSET(TH!F$1,SMALL(Dong2,ROWS($1:39)),))</f>
        <v>Thu tiền hàng</v>
      </c>
      <c r="E50" s="698" t="str">
        <f ca="1">IF(ROWS($1:39)&gt;COUNT(Dong2),"",IF(OFFSET(TH!M$1,SMALL(Dong2,ROWS($1:39)),)=$I$6,OFFSET(TH!L$1,SMALL(Dong2,ROWS($1:39)),),OFFSET(TH!M$1,SMALL(Dong2,ROWS($1:39)),)))</f>
        <v>131</v>
      </c>
      <c r="F50" s="7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1">
        <f t="shared" ca="1" si="0"/>
        <v>15362966</v>
      </c>
      <c r="I50" s="702"/>
    </row>
    <row r="51" spans="1:9" s="681" customFormat="1" ht="18.75" customHeight="1">
      <c r="A51" s="698">
        <f ca="1">IF(ROWS($1:40)&gt;COUNT(Dong2),"",OFFSET(TH!C$1,SMALL(Dong2,ROWS($1:40)),))</f>
        <v>42698</v>
      </c>
      <c r="B51" s="698" t="str">
        <f ca="1">IF(ROWS($1:40)&gt;COUNT(Dong2),"",OFFSET(TH!D$1,SMALL(Dong2,ROWS($1:40)),))</f>
        <v>GBC</v>
      </c>
      <c r="C51" s="698">
        <f ca="1">IF(ROWS($1:40)&gt;COUNT(Dong2),"",OFFSET(TH!E$1,SMALL(Dong2,ROWS($1:40)),))</f>
        <v>42698</v>
      </c>
      <c r="D51" s="699" t="str">
        <f ca="1">IF(ROWS($1:40)&gt;COUNT(Dong2),"",OFFSET(TH!F$1,SMALL(Dong2,ROWS($1:40)),))</f>
        <v>Thu tiền hàng</v>
      </c>
      <c r="E51" s="698" t="str">
        <f ca="1">IF(ROWS($1:40)&gt;COUNT(Dong2),"",IF(OFFSET(TH!M$1,SMALL(Dong2,ROWS($1:40)),)=$I$6,OFFSET(TH!L$1,SMALL(Dong2,ROWS($1:40)),),OFFSET(TH!M$1,SMALL(Dong2,ROWS($1:40)),)))</f>
        <v>131</v>
      </c>
      <c r="F51" s="7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1">
        <f t="shared" ca="1" si="0"/>
        <v>33748366</v>
      </c>
      <c r="I51" s="702"/>
    </row>
    <row r="52" spans="1:9" s="681" customFormat="1" ht="18.75" customHeight="1">
      <c r="A52" s="698">
        <f ca="1">IF(ROWS($1:41)&gt;COUNT(Dong2),"",OFFSET(TH!C$1,SMALL(Dong2,ROWS($1:41)),))</f>
        <v>42699</v>
      </c>
      <c r="B52" s="698" t="str">
        <f ca="1">IF(ROWS($1:41)&gt;COUNT(Dong2),"",OFFSET(TH!D$1,SMALL(Dong2,ROWS($1:41)),))</f>
        <v>GBC</v>
      </c>
      <c r="C52" s="698">
        <f ca="1">IF(ROWS($1:41)&gt;COUNT(Dong2),"",OFFSET(TH!E$1,SMALL(Dong2,ROWS($1:41)),))</f>
        <v>42699</v>
      </c>
      <c r="D52" s="699" t="str">
        <f ca="1">IF(ROWS($1:41)&gt;COUNT(Dong2),"",OFFSET(TH!F$1,SMALL(Dong2,ROWS($1:41)),))</f>
        <v>Lãi tiền gửi</v>
      </c>
      <c r="E52" s="698" t="str">
        <f ca="1">IF(ROWS($1:41)&gt;COUNT(Dong2),"",IF(OFFSET(TH!M$1,SMALL(Dong2,ROWS($1:41)),)=$I$6,OFFSET(TH!L$1,SMALL(Dong2,ROWS($1:41)),),OFFSET(TH!M$1,SMALL(Dong2,ROWS($1:41)),)))</f>
        <v>515</v>
      </c>
      <c r="F52" s="7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1">
        <f t="shared" ca="1" si="0"/>
        <v>33753371</v>
      </c>
      <c r="I52" s="702"/>
    </row>
    <row r="53" spans="1:9" s="681" customFormat="1" ht="18.75" customHeight="1">
      <c r="A53" s="698">
        <f ca="1">IF(ROWS($1:42)&gt;COUNT(Dong2),"",OFFSET(TH!C$1,SMALL(Dong2,ROWS($1:42)),))</f>
        <v>42699</v>
      </c>
      <c r="B53" s="698" t="str">
        <f ca="1">IF(ROWS($1:42)&gt;COUNT(Dong2),"",OFFSET(TH!D$1,SMALL(Dong2,ROWS($1:42)),))</f>
        <v>T18</v>
      </c>
      <c r="C53" s="698">
        <f ca="1">IF(ROWS($1:42)&gt;COUNT(Dong2),"",OFFSET(TH!E$1,SMALL(Dong2,ROWS($1:42)),))</f>
        <v>42699</v>
      </c>
      <c r="D53" s="699" t="str">
        <f ca="1">IF(ROWS($1:42)&gt;COUNT(Dong2),"",OFFSET(TH!F$1,SMALL(Dong2,ROWS($1:42)),))</f>
        <v>Rút tiền mặt</v>
      </c>
      <c r="E53" s="698" t="str">
        <f ca="1">IF(ROWS($1:42)&gt;COUNT(Dong2),"",IF(OFFSET(TH!M$1,SMALL(Dong2,ROWS($1:42)),)=$I$6,OFFSET(TH!L$1,SMALL(Dong2,ROWS($1:42)),),OFFSET(TH!M$1,SMALL(Dong2,ROWS($1:42)),)))</f>
        <v>1111</v>
      </c>
      <c r="F53" s="7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01">
        <f t="shared" ca="1" si="0"/>
        <v>13753371</v>
      </c>
      <c r="I53" s="702"/>
    </row>
    <row r="54" spans="1:9" s="681" customFormat="1" ht="18.75" customHeight="1">
      <c r="A54" s="698">
        <f ca="1">IF(ROWS($1:43)&gt;COUNT(Dong2),"",OFFSET(TH!C$1,SMALL(Dong2,ROWS($1:43)),))</f>
        <v>42699</v>
      </c>
      <c r="B54" s="698" t="str">
        <f ca="1">IF(ROWS($1:43)&gt;COUNT(Dong2),"",OFFSET(TH!D$1,SMALL(Dong2,ROWS($1:43)),))</f>
        <v>GBN</v>
      </c>
      <c r="C54" s="698">
        <f ca="1">IF(ROWS($1:43)&gt;COUNT(Dong2),"",OFFSET(TH!E$1,SMALL(Dong2,ROWS($1:43)),))</f>
        <v>42699</v>
      </c>
      <c r="D54" s="699" t="str">
        <f ca="1">IF(ROWS($1:43)&gt;COUNT(Dong2),"",OFFSET(TH!F$1,SMALL(Dong2,ROWS($1:43)),))</f>
        <v>Thanh toán tiền hàng</v>
      </c>
      <c r="E54" s="698" t="str">
        <f ca="1">IF(ROWS($1:43)&gt;COUNT(Dong2),"",IF(OFFSET(TH!M$1,SMALL(Dong2,ROWS($1:43)),)=$I$6,OFFSET(TH!L$1,SMALL(Dong2,ROWS($1:43)),),OFFSET(TH!M$1,SMALL(Dong2,ROWS($1:43)),)))</f>
        <v>331</v>
      </c>
      <c r="F54" s="7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01">
        <f t="shared" ca="1" si="0"/>
        <v>1253371</v>
      </c>
      <c r="I54" s="702"/>
    </row>
    <row r="55" spans="1:9" s="681" customFormat="1" ht="18.75" customHeight="1">
      <c r="A55" s="698">
        <f ca="1">IF(ROWS($1:44)&gt;COUNT(Dong2),"",OFFSET(TH!C$1,SMALL(Dong2,ROWS($1:44)),))</f>
        <v>42699</v>
      </c>
      <c r="B55" s="698" t="str">
        <f ca="1">IF(ROWS($1:44)&gt;COUNT(Dong2),"",OFFSET(TH!D$1,SMALL(Dong2,ROWS($1:44)),))</f>
        <v>GBN</v>
      </c>
      <c r="C55" s="698">
        <f ca="1">IF(ROWS($1:44)&gt;COUNT(Dong2),"",OFFSET(TH!E$1,SMALL(Dong2,ROWS($1:44)),))</f>
        <v>42699</v>
      </c>
      <c r="D55" s="699" t="str">
        <f ca="1">IF(ROWS($1:44)&gt;COUNT(Dong2),"",OFFSET(TH!F$1,SMALL(Dong2,ROWS($1:44)),))</f>
        <v>Phí bán 2 cuốn sec</v>
      </c>
      <c r="E55" s="698" t="str">
        <f ca="1">IF(ROWS($1:44)&gt;COUNT(Dong2),"",IF(OFFSET(TH!M$1,SMALL(Dong2,ROWS($1:44)),)=$I$6,OFFSET(TH!L$1,SMALL(Dong2,ROWS($1:44)),),OFFSET(TH!M$1,SMALL(Dong2,ROWS($1:44)),)))</f>
        <v>642</v>
      </c>
      <c r="F55" s="7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01">
        <f t="shared" ca="1" si="0"/>
        <v>1233371</v>
      </c>
      <c r="I55" s="702"/>
    </row>
    <row r="56" spans="1:9" s="681" customFormat="1" ht="18.75" customHeight="1">
      <c r="A56" s="698">
        <f ca="1">IF(ROWS($1:45)&gt;COUNT(Dong2),"",OFFSET(TH!C$1,SMALL(Dong2,ROWS($1:45)),))</f>
        <v>42699</v>
      </c>
      <c r="B56" s="698" t="str">
        <f ca="1">IF(ROWS($1:45)&gt;COUNT(Dong2),"",OFFSET(TH!D$1,SMALL(Dong2,ROWS($1:45)),))</f>
        <v>GBN</v>
      </c>
      <c r="C56" s="698">
        <f ca="1">IF(ROWS($1:45)&gt;COUNT(Dong2),"",OFFSET(TH!E$1,SMALL(Dong2,ROWS($1:45)),))</f>
        <v>42699</v>
      </c>
      <c r="D56" s="699" t="str">
        <f ca="1">IF(ROWS($1:45)&gt;COUNT(Dong2),"",OFFSET(TH!F$1,SMALL(Dong2,ROWS($1:45)),))</f>
        <v>VAT Phí bán 2 cuốn sec</v>
      </c>
      <c r="E56" s="698" t="str">
        <f ca="1">IF(ROWS($1:45)&gt;COUNT(Dong2),"",IF(OFFSET(TH!M$1,SMALL(Dong2,ROWS($1:45)),)=$I$6,OFFSET(TH!L$1,SMALL(Dong2,ROWS($1:45)),),OFFSET(TH!M$1,SMALL(Dong2,ROWS($1:45)),)))</f>
        <v>1331</v>
      </c>
      <c r="F56" s="7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01">
        <f t="shared" ca="1" si="0"/>
        <v>1231371</v>
      </c>
      <c r="I56" s="702"/>
    </row>
    <row r="57" spans="1:9" s="681" customFormat="1" ht="18.75" customHeight="1">
      <c r="A57" s="698">
        <f ca="1">IF(ROWS($1:46)&gt;COUNT(Dong2),"",OFFSET(TH!C$1,SMALL(Dong2,ROWS($1:46)),))</f>
        <v>42699</v>
      </c>
      <c r="B57" s="698" t="str">
        <f ca="1">IF(ROWS($1:46)&gt;COUNT(Dong2),"",OFFSET(TH!D$1,SMALL(Dong2,ROWS($1:46)),))</f>
        <v>GBN</v>
      </c>
      <c r="C57" s="698">
        <f ca="1">IF(ROWS($1:46)&gt;COUNT(Dong2),"",OFFSET(TH!E$1,SMALL(Dong2,ROWS($1:46)),))</f>
        <v>42699</v>
      </c>
      <c r="D57" s="699" t="str">
        <f ca="1">IF(ROWS($1:46)&gt;COUNT(Dong2),"",OFFSET(TH!F$1,SMALL(Dong2,ROWS($1:46)),))</f>
        <v>Phí quản lý tài khoản</v>
      </c>
      <c r="E57" s="698" t="str">
        <f ca="1">IF(ROWS($1:46)&gt;COUNT(Dong2),"",IF(OFFSET(TH!M$1,SMALL(Dong2,ROWS($1:46)),)=$I$6,OFFSET(TH!L$1,SMALL(Dong2,ROWS($1:46)),),OFFSET(TH!M$1,SMALL(Dong2,ROWS($1:46)),)))</f>
        <v>642</v>
      </c>
      <c r="F57" s="7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01">
        <f t="shared" ca="1" si="0"/>
        <v>1221371</v>
      </c>
      <c r="I57" s="702"/>
    </row>
    <row r="58" spans="1:9" s="681" customFormat="1" ht="18.75" customHeight="1">
      <c r="A58" s="698">
        <f ca="1">IF(ROWS($1:47)&gt;COUNT(Dong2),"",OFFSET(TH!C$1,SMALL(Dong2,ROWS($1:47)),))</f>
        <v>42699</v>
      </c>
      <c r="B58" s="698" t="str">
        <f ca="1">IF(ROWS($1:47)&gt;COUNT(Dong2),"",OFFSET(TH!D$1,SMALL(Dong2,ROWS($1:47)),))</f>
        <v>GBN</v>
      </c>
      <c r="C58" s="698">
        <f ca="1">IF(ROWS($1:47)&gt;COUNT(Dong2),"",OFFSET(TH!E$1,SMALL(Dong2,ROWS($1:47)),))</f>
        <v>42699</v>
      </c>
      <c r="D58" s="699" t="str">
        <f ca="1">IF(ROWS($1:47)&gt;COUNT(Dong2),"",OFFSET(TH!F$1,SMALL(Dong2,ROWS($1:47)),))</f>
        <v>VAT Phí quản lý tài khoản</v>
      </c>
      <c r="E58" s="698" t="str">
        <f ca="1">IF(ROWS($1:47)&gt;COUNT(Dong2),"",IF(OFFSET(TH!M$1,SMALL(Dong2,ROWS($1:47)),)=$I$6,OFFSET(TH!L$1,SMALL(Dong2,ROWS($1:47)),),OFFSET(TH!M$1,SMALL(Dong2,ROWS($1:47)),)))</f>
        <v>1331</v>
      </c>
      <c r="F58" s="7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01">
        <f t="shared" ca="1" si="0"/>
        <v>1220371</v>
      </c>
      <c r="I58" s="702"/>
    </row>
    <row r="59" spans="1:9" s="681" customFormat="1" ht="18.75" customHeight="1">
      <c r="A59" s="698">
        <f ca="1">IF(ROWS($1:48)&gt;COUNT(Dong2),"",OFFSET(TH!C$1,SMALL(Dong2,ROWS($1:48)),))</f>
        <v>42702</v>
      </c>
      <c r="B59" s="698" t="str">
        <f ca="1">IF(ROWS($1:48)&gt;COUNT(Dong2),"",OFFSET(TH!D$1,SMALL(Dong2,ROWS($1:48)),))</f>
        <v>GBC</v>
      </c>
      <c r="C59" s="698">
        <f ca="1">IF(ROWS($1:48)&gt;COUNT(Dong2),"",OFFSET(TH!E$1,SMALL(Dong2,ROWS($1:48)),))</f>
        <v>42702</v>
      </c>
      <c r="D59" s="699" t="str">
        <f ca="1">IF(ROWS($1:48)&gt;COUNT(Dong2),"",OFFSET(TH!F$1,SMALL(Dong2,ROWS($1:48)),))</f>
        <v>Thu tiền hàng</v>
      </c>
      <c r="E59" s="698" t="str">
        <f ca="1">IF(ROWS($1:48)&gt;COUNT(Dong2),"",IF(OFFSET(TH!M$1,SMALL(Dong2,ROWS($1:48)),)=$I$6,OFFSET(TH!L$1,SMALL(Dong2,ROWS($1:48)),),OFFSET(TH!M$1,SMALL(Dong2,ROWS($1:48)),)))</f>
        <v>131</v>
      </c>
      <c r="F59" s="7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1">
        <f t="shared" ca="1" si="0"/>
        <v>23692161</v>
      </c>
      <c r="I59" s="702"/>
    </row>
    <row r="60" spans="1:9" s="681" customFormat="1" ht="18.75" customHeight="1">
      <c r="A60" s="698">
        <f ca="1">IF(ROWS($1:49)&gt;COUNT(Dong2),"",OFFSET(TH!C$1,SMALL(Dong2,ROWS($1:49)),))</f>
        <v>42703</v>
      </c>
      <c r="B60" s="698" t="str">
        <f ca="1">IF(ROWS($1:49)&gt;COUNT(Dong2),"",OFFSET(TH!D$1,SMALL(Dong2,ROWS($1:49)),))</f>
        <v>T19</v>
      </c>
      <c r="C60" s="698">
        <f ca="1">IF(ROWS($1:49)&gt;COUNT(Dong2),"",OFFSET(TH!E$1,SMALL(Dong2,ROWS($1:49)),))</f>
        <v>42703</v>
      </c>
      <c r="D60" s="699" t="str">
        <f ca="1">IF(ROWS($1:49)&gt;COUNT(Dong2),"",OFFSET(TH!F$1,SMALL(Dong2,ROWS($1:49)),))</f>
        <v>Rút tiền mặt</v>
      </c>
      <c r="E60" s="698" t="str">
        <f ca="1">IF(ROWS($1:49)&gt;COUNT(Dong2),"",IF(OFFSET(TH!M$1,SMALL(Dong2,ROWS($1:49)),)=$I$6,OFFSET(TH!L$1,SMALL(Dong2,ROWS($1:49)),),OFFSET(TH!M$1,SMALL(Dong2,ROWS($1:49)),)))</f>
        <v>1111</v>
      </c>
      <c r="F60" s="7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01">
        <f t="shared" ca="1" si="0"/>
        <v>1192161</v>
      </c>
      <c r="I60" s="702"/>
    </row>
    <row r="61" spans="1:9" s="681" customFormat="1" ht="18.75" customHeight="1">
      <c r="A61" s="698">
        <f ca="1">IF(ROWS($1:50)&gt;COUNT(Dong2),"",OFFSET(TH!C$1,SMALL(Dong2,ROWS($1:50)),))</f>
        <v>42713</v>
      </c>
      <c r="B61" s="698" t="str">
        <f ca="1">IF(ROWS($1:50)&gt;COUNT(Dong2),"",OFFSET(TH!D$1,SMALL(Dong2,ROWS($1:50)),))</f>
        <v>GBC</v>
      </c>
      <c r="C61" s="698">
        <f ca="1">IF(ROWS($1:50)&gt;COUNT(Dong2),"",OFFSET(TH!E$1,SMALL(Dong2,ROWS($1:50)),))</f>
        <v>42713</v>
      </c>
      <c r="D61" s="699" t="str">
        <f ca="1">IF(ROWS($1:50)&gt;COUNT(Dong2),"",OFFSET(TH!F$1,SMALL(Dong2,ROWS($1:50)),))</f>
        <v>Thu tiền hàng</v>
      </c>
      <c r="E61" s="698" t="str">
        <f ca="1">IF(ROWS($1:50)&gt;COUNT(Dong2),"",IF(OFFSET(TH!M$1,SMALL(Dong2,ROWS($1:50)),)=$I$6,OFFSET(TH!L$1,SMALL(Dong2,ROWS($1:50)),),OFFSET(TH!M$1,SMALL(Dong2,ROWS($1:50)),)))</f>
        <v>131</v>
      </c>
      <c r="F61" s="7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01">
        <f t="shared" ca="1" si="0"/>
        <v>16768161</v>
      </c>
      <c r="I61" s="702"/>
    </row>
    <row r="62" spans="1:9" s="681" customFormat="1" ht="18.75" customHeight="1">
      <c r="A62" s="698">
        <f ca="1">IF(ROWS($1:51)&gt;COUNT(Dong2),"",OFFSET(TH!C$1,SMALL(Dong2,ROWS($1:51)),))</f>
        <v>42716</v>
      </c>
      <c r="B62" s="698" t="str">
        <f ca="1">IF(ROWS($1:51)&gt;COUNT(Dong2),"",OFFSET(TH!D$1,SMALL(Dong2,ROWS($1:51)),))</f>
        <v>C25</v>
      </c>
      <c r="C62" s="698">
        <f ca="1">IF(ROWS($1:51)&gt;COUNT(Dong2),"",OFFSET(TH!E$1,SMALL(Dong2,ROWS($1:51)),))</f>
        <v>42716</v>
      </c>
      <c r="D62" s="699" t="str">
        <f ca="1">IF(ROWS($1:51)&gt;COUNT(Dong2),"",OFFSET(TH!F$1,SMALL(Dong2,ROWS($1:51)),))</f>
        <v>Nộp tiền mặt</v>
      </c>
      <c r="E62" s="698" t="str">
        <f ca="1">IF(ROWS($1:51)&gt;COUNT(Dong2),"",IF(OFFSET(TH!M$1,SMALL(Dong2,ROWS($1:51)),)=$I$6,OFFSET(TH!L$1,SMALL(Dong2,ROWS($1:51)),),OFFSET(TH!M$1,SMALL(Dong2,ROWS($1:51)),)))</f>
        <v>1111</v>
      </c>
      <c r="F62" s="7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01">
        <f t="shared" ca="1" si="0"/>
        <v>21268161</v>
      </c>
      <c r="I62" s="702"/>
    </row>
    <row r="63" spans="1:9" s="681" customFormat="1" ht="18.75" customHeight="1">
      <c r="A63" s="698">
        <f ca="1">IF(ROWS($1:52)&gt;COUNT(Dong2),"",OFFSET(TH!C$1,SMALL(Dong2,ROWS($1:52)),))</f>
        <v>42716</v>
      </c>
      <c r="B63" s="698" t="str">
        <f ca="1">IF(ROWS($1:52)&gt;COUNT(Dong2),"",OFFSET(TH!D$1,SMALL(Dong2,ROWS($1:52)),))</f>
        <v>GBN</v>
      </c>
      <c r="C63" s="698">
        <f ca="1">IF(ROWS($1:52)&gt;COUNT(Dong2),"",OFFSET(TH!E$1,SMALL(Dong2,ROWS($1:52)),))</f>
        <v>42716</v>
      </c>
      <c r="D63" s="699" t="str">
        <f ca="1">IF(ROWS($1:52)&gt;COUNT(Dong2),"",OFFSET(TH!F$1,SMALL(Dong2,ROWS($1:52)),))</f>
        <v>Thanh toán tiền hàng</v>
      </c>
      <c r="E63" s="698" t="str">
        <f ca="1">IF(ROWS($1:52)&gt;COUNT(Dong2),"",IF(OFFSET(TH!M$1,SMALL(Dong2,ROWS($1:52)),)=$I$6,OFFSET(TH!L$1,SMALL(Dong2,ROWS($1:52)),),OFFSET(TH!M$1,SMALL(Dong2,ROWS($1:52)),)))</f>
        <v>331</v>
      </c>
      <c r="F63" s="7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01">
        <f t="shared" ca="1" si="0"/>
        <v>1268161</v>
      </c>
      <c r="I63" s="702"/>
    </row>
    <row r="64" spans="1:9" s="681" customFormat="1" ht="18.75" customHeight="1">
      <c r="A64" s="698">
        <f ca="1">IF(ROWS($1:53)&gt;COUNT(Dong2),"",OFFSET(TH!C$1,SMALL(Dong2,ROWS($1:53)),))</f>
        <v>42716</v>
      </c>
      <c r="B64" s="698" t="str">
        <f ca="1">IF(ROWS($1:53)&gt;COUNT(Dong2),"",OFFSET(TH!D$1,SMALL(Dong2,ROWS($1:53)),))</f>
        <v>GBN</v>
      </c>
      <c r="C64" s="698">
        <f ca="1">IF(ROWS($1:53)&gt;COUNT(Dong2),"",OFFSET(TH!E$1,SMALL(Dong2,ROWS($1:53)),))</f>
        <v>42716</v>
      </c>
      <c r="D64" s="699" t="str">
        <f ca="1">IF(ROWS($1:53)&gt;COUNT(Dong2),"",OFFSET(TH!F$1,SMALL(Dong2,ROWS($1:53)),))</f>
        <v>Phí kiểm đếm</v>
      </c>
      <c r="E64" s="698" t="str">
        <f ca="1">IF(ROWS($1:53)&gt;COUNT(Dong2),"",IF(OFFSET(TH!M$1,SMALL(Dong2,ROWS($1:53)),)=$I$6,OFFSET(TH!L$1,SMALL(Dong2,ROWS($1:53)),),OFFSET(TH!M$1,SMALL(Dong2,ROWS($1:53)),)))</f>
        <v>642</v>
      </c>
      <c r="F64" s="7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01">
        <f t="shared" ca="1" si="0"/>
        <v>1248161</v>
      </c>
      <c r="I64" s="702"/>
    </row>
    <row r="65" spans="1:9" s="681" customFormat="1" ht="18.75" customHeight="1">
      <c r="A65" s="698">
        <f ca="1">IF(ROWS($1:54)&gt;COUNT(Dong2),"",OFFSET(TH!C$1,SMALL(Dong2,ROWS($1:54)),))</f>
        <v>42716</v>
      </c>
      <c r="B65" s="698" t="str">
        <f ca="1">IF(ROWS($1:54)&gt;COUNT(Dong2),"",OFFSET(TH!D$1,SMALL(Dong2,ROWS($1:54)),))</f>
        <v>GBN</v>
      </c>
      <c r="C65" s="698">
        <f ca="1">IF(ROWS($1:54)&gt;COUNT(Dong2),"",OFFSET(TH!E$1,SMALL(Dong2,ROWS($1:54)),))</f>
        <v>42716</v>
      </c>
      <c r="D65" s="699" t="str">
        <f ca="1">IF(ROWS($1:54)&gt;COUNT(Dong2),"",OFFSET(TH!F$1,SMALL(Dong2,ROWS($1:54)),))</f>
        <v>VAT Phí kiểm đếm</v>
      </c>
      <c r="E65" s="698" t="str">
        <f ca="1">IF(ROWS($1:54)&gt;COUNT(Dong2),"",IF(OFFSET(TH!M$1,SMALL(Dong2,ROWS($1:54)),)=$I$6,OFFSET(TH!L$1,SMALL(Dong2,ROWS($1:54)),),OFFSET(TH!M$1,SMALL(Dong2,ROWS($1:54)),)))</f>
        <v>1331</v>
      </c>
      <c r="F65" s="7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01">
        <f t="shared" ca="1" si="0"/>
        <v>1246161</v>
      </c>
      <c r="I65" s="702"/>
    </row>
    <row r="66" spans="1:9" s="681" customFormat="1" ht="18.75" customHeight="1">
      <c r="A66" s="698">
        <f ca="1">IF(ROWS($1:55)&gt;COUNT(Dong2),"",OFFSET(TH!C$1,SMALL(Dong2,ROWS($1:55)),))</f>
        <v>42717</v>
      </c>
      <c r="B66" s="698" t="str">
        <f ca="1">IF(ROWS($1:55)&gt;COUNT(Dong2),"",OFFSET(TH!D$1,SMALL(Dong2,ROWS($1:55)),))</f>
        <v>C26</v>
      </c>
      <c r="C66" s="698">
        <f ca="1">IF(ROWS($1:55)&gt;COUNT(Dong2),"",OFFSET(TH!E$1,SMALL(Dong2,ROWS($1:55)),))</f>
        <v>42717</v>
      </c>
      <c r="D66" s="699" t="str">
        <f ca="1">IF(ROWS($1:55)&gt;COUNT(Dong2),"",OFFSET(TH!F$1,SMALL(Dong2,ROWS($1:55)),))</f>
        <v>Nộp tiền mặt</v>
      </c>
      <c r="E66" s="698" t="str">
        <f ca="1">IF(ROWS($1:55)&gt;COUNT(Dong2),"",IF(OFFSET(TH!M$1,SMALL(Dong2,ROWS($1:55)),)=$I$6,OFFSET(TH!L$1,SMALL(Dong2,ROWS($1:55)),),OFFSET(TH!M$1,SMALL(Dong2,ROWS($1:55)),)))</f>
        <v>1111</v>
      </c>
      <c r="F66" s="7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1">
        <f t="shared" ca="1" si="0"/>
        <v>14546161</v>
      </c>
      <c r="I66" s="702"/>
    </row>
    <row r="67" spans="1:9" s="681" customFormat="1" ht="18.75" customHeight="1">
      <c r="A67" s="698">
        <f ca="1">IF(ROWS($1:56)&gt;COUNT(Dong2),"",OFFSET(TH!C$1,SMALL(Dong2,ROWS($1:56)),))</f>
        <v>42717</v>
      </c>
      <c r="B67" s="698" t="str">
        <f ca="1">IF(ROWS($1:56)&gt;COUNT(Dong2),"",OFFSET(TH!D$1,SMALL(Dong2,ROWS($1:56)),))</f>
        <v>GBC</v>
      </c>
      <c r="C67" s="698">
        <f ca="1">IF(ROWS($1:56)&gt;COUNT(Dong2),"",OFFSET(TH!E$1,SMALL(Dong2,ROWS($1:56)),))</f>
        <v>42717</v>
      </c>
      <c r="D67" s="699" t="str">
        <f ca="1">IF(ROWS($1:56)&gt;COUNT(Dong2),"",OFFSET(TH!F$1,SMALL(Dong2,ROWS($1:56)),))</f>
        <v>Thu tiền hàng</v>
      </c>
      <c r="E67" s="698" t="str">
        <f ca="1">IF(ROWS($1:56)&gt;COUNT(Dong2),"",IF(OFFSET(TH!M$1,SMALL(Dong2,ROWS($1:56)),)=$I$6,OFFSET(TH!L$1,SMALL(Dong2,ROWS($1:56)),),OFFSET(TH!M$1,SMALL(Dong2,ROWS($1:56)),)))</f>
        <v>131</v>
      </c>
      <c r="F67" s="7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01">
        <f t="shared" ca="1" si="0"/>
        <v>41870161</v>
      </c>
      <c r="I67" s="702"/>
    </row>
    <row r="68" spans="1:9" s="681" customFormat="1" ht="18.75" customHeight="1">
      <c r="A68" s="698">
        <f ca="1">IF(ROWS($1:57)&gt;COUNT(Dong2),"",OFFSET(TH!C$1,SMALL(Dong2,ROWS($1:57)),))</f>
        <v>42718</v>
      </c>
      <c r="B68" s="698" t="str">
        <f ca="1">IF(ROWS($1:57)&gt;COUNT(Dong2),"",OFFSET(TH!D$1,SMALL(Dong2,ROWS($1:57)),))</f>
        <v>GBN</v>
      </c>
      <c r="C68" s="698">
        <f ca="1">IF(ROWS($1:57)&gt;COUNT(Dong2),"",OFFSET(TH!E$1,SMALL(Dong2,ROWS($1:57)),))</f>
        <v>42718</v>
      </c>
      <c r="D68" s="699" t="str">
        <f ca="1">IF(ROWS($1:57)&gt;COUNT(Dong2),"",OFFSET(TH!F$1,SMALL(Dong2,ROWS($1:57)),))</f>
        <v>Phí chuyển tiền</v>
      </c>
      <c r="E68" s="698" t="str">
        <f ca="1">IF(ROWS($1:57)&gt;COUNT(Dong2),"",IF(OFFSET(TH!M$1,SMALL(Dong2,ROWS($1:57)),)=$I$6,OFFSET(TH!L$1,SMALL(Dong2,ROWS($1:57)),),OFFSET(TH!M$1,SMALL(Dong2,ROWS($1:57)),)))</f>
        <v>642</v>
      </c>
      <c r="F68" s="7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01">
        <f t="shared" ca="1" si="0"/>
        <v>41850161</v>
      </c>
      <c r="I68" s="702"/>
    </row>
    <row r="69" spans="1:9" s="681" customFormat="1" ht="18.75" customHeight="1">
      <c r="A69" s="698">
        <f ca="1">IF(ROWS($1:58)&gt;COUNT(Dong2),"",OFFSET(TH!C$1,SMALL(Dong2,ROWS($1:58)),))</f>
        <v>42718</v>
      </c>
      <c r="B69" s="698" t="str">
        <f ca="1">IF(ROWS($1:58)&gt;COUNT(Dong2),"",OFFSET(TH!D$1,SMALL(Dong2,ROWS($1:58)),))</f>
        <v>GBN</v>
      </c>
      <c r="C69" s="698">
        <f ca="1">IF(ROWS($1:58)&gt;COUNT(Dong2),"",OFFSET(TH!E$1,SMALL(Dong2,ROWS($1:58)),))</f>
        <v>42718</v>
      </c>
      <c r="D69" s="699" t="str">
        <f ca="1">IF(ROWS($1:58)&gt;COUNT(Dong2),"",OFFSET(TH!F$1,SMALL(Dong2,ROWS($1:58)),))</f>
        <v>VAT Phí chuyển tiền</v>
      </c>
      <c r="E69" s="698" t="str">
        <f ca="1">IF(ROWS($1:58)&gt;COUNT(Dong2),"",IF(OFFSET(TH!M$1,SMALL(Dong2,ROWS($1:58)),)=$I$6,OFFSET(TH!L$1,SMALL(Dong2,ROWS($1:58)),),OFFSET(TH!M$1,SMALL(Dong2,ROWS($1:58)),)))</f>
        <v>1331</v>
      </c>
      <c r="F69" s="7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01">
        <f t="shared" ca="1" si="0"/>
        <v>41848161</v>
      </c>
      <c r="I69" s="702"/>
    </row>
    <row r="70" spans="1:9" s="681" customFormat="1" ht="18.75" customHeight="1">
      <c r="A70" s="698">
        <f ca="1">IF(ROWS($1:59)&gt;COUNT(Dong2),"",OFFSET(TH!C$1,SMALL(Dong2,ROWS($1:59)),))</f>
        <v>42718</v>
      </c>
      <c r="B70" s="698" t="str">
        <f ca="1">IF(ROWS($1:59)&gt;COUNT(Dong2),"",OFFSET(TH!D$1,SMALL(Dong2,ROWS($1:59)),))</f>
        <v>GBN</v>
      </c>
      <c r="C70" s="698">
        <f ca="1">IF(ROWS($1:59)&gt;COUNT(Dong2),"",OFFSET(TH!E$1,SMALL(Dong2,ROWS($1:59)),))</f>
        <v>42718</v>
      </c>
      <c r="D70" s="699" t="str">
        <f ca="1">IF(ROWS($1:59)&gt;COUNT(Dong2),"",OFFSET(TH!F$1,SMALL(Dong2,ROWS($1:59)),))</f>
        <v>Thanh toán tiền thuê kho T12/2016</v>
      </c>
      <c r="E70" s="698" t="str">
        <f ca="1">IF(ROWS($1:59)&gt;COUNT(Dong2),"",IF(OFFSET(TH!M$1,SMALL(Dong2,ROWS($1:59)),)=$I$6,OFFSET(TH!L$1,SMALL(Dong2,ROWS($1:59)),),OFFSET(TH!M$1,SMALL(Dong2,ROWS($1:59)),)))</f>
        <v>331</v>
      </c>
      <c r="F70" s="7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01">
        <f t="shared" ca="1" si="0"/>
        <v>1148161</v>
      </c>
      <c r="I70" s="702"/>
    </row>
    <row r="71" spans="1:9" s="681" customFormat="1" ht="18.75" customHeight="1">
      <c r="A71" s="698">
        <f ca="1">IF(ROWS($1:60)&gt;COUNT(Dong2),"",OFFSET(TH!C$1,SMALL(Dong2,ROWS($1:60)),))</f>
        <v>42718</v>
      </c>
      <c r="B71" s="698" t="str">
        <f ca="1">IF(ROWS($1:60)&gt;COUNT(Dong2),"",OFFSET(TH!D$1,SMALL(Dong2,ROWS($1:60)),))</f>
        <v>GBN</v>
      </c>
      <c r="C71" s="698">
        <f ca="1">IF(ROWS($1:60)&gt;COUNT(Dong2),"",OFFSET(TH!E$1,SMALL(Dong2,ROWS($1:60)),))</f>
        <v>42718</v>
      </c>
      <c r="D71" s="699" t="str">
        <f ca="1">IF(ROWS($1:60)&gt;COUNT(Dong2),"",OFFSET(TH!F$1,SMALL(Dong2,ROWS($1:60)),))</f>
        <v>Phí chuyển tiền</v>
      </c>
      <c r="E71" s="698" t="str">
        <f ca="1">IF(ROWS($1:60)&gt;COUNT(Dong2),"",IF(OFFSET(TH!M$1,SMALL(Dong2,ROWS($1:60)),)=$I$6,OFFSET(TH!L$1,SMALL(Dong2,ROWS($1:60)),),OFFSET(TH!M$1,SMALL(Dong2,ROWS($1:60)),)))</f>
        <v>642</v>
      </c>
      <c r="F71" s="7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01">
        <f t="shared" ca="1" si="0"/>
        <v>1128161</v>
      </c>
      <c r="I71" s="702"/>
    </row>
    <row r="72" spans="1:9" s="681" customFormat="1" ht="18.75" customHeight="1">
      <c r="A72" s="698">
        <f ca="1">IF(ROWS($1:61)&gt;COUNT(Dong2),"",OFFSET(TH!C$1,SMALL(Dong2,ROWS($1:61)),))</f>
        <v>42718</v>
      </c>
      <c r="B72" s="698" t="str">
        <f ca="1">IF(ROWS($1:61)&gt;COUNT(Dong2),"",OFFSET(TH!D$1,SMALL(Dong2,ROWS($1:61)),))</f>
        <v>GBN</v>
      </c>
      <c r="C72" s="698">
        <f ca="1">IF(ROWS($1:61)&gt;COUNT(Dong2),"",OFFSET(TH!E$1,SMALL(Dong2,ROWS($1:61)),))</f>
        <v>42718</v>
      </c>
      <c r="D72" s="699" t="str">
        <f ca="1">IF(ROWS($1:61)&gt;COUNT(Dong2),"",OFFSET(TH!F$1,SMALL(Dong2,ROWS($1:61)),))</f>
        <v>VAT Phí chuyển tiền</v>
      </c>
      <c r="E72" s="698" t="str">
        <f ca="1">IF(ROWS($1:61)&gt;COUNT(Dong2),"",IF(OFFSET(TH!M$1,SMALL(Dong2,ROWS($1:61)),)=$I$6,OFFSET(TH!L$1,SMALL(Dong2,ROWS($1:61)),),OFFSET(TH!M$1,SMALL(Dong2,ROWS($1:61)),)))</f>
        <v>1331</v>
      </c>
      <c r="F72" s="7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01">
        <f t="shared" ca="1" si="0"/>
        <v>1126161</v>
      </c>
      <c r="I72" s="702"/>
    </row>
    <row r="73" spans="1:9" s="681" customFormat="1" ht="18.75" customHeight="1">
      <c r="A73" s="698">
        <f ca="1">IF(ROWS($1:62)&gt;COUNT(Dong2),"",OFFSET(TH!C$1,SMALL(Dong2,ROWS($1:62)),))</f>
        <v>42723</v>
      </c>
      <c r="B73" s="698" t="str">
        <f ca="1">IF(ROWS($1:62)&gt;COUNT(Dong2),"",OFFSET(TH!D$1,SMALL(Dong2,ROWS($1:62)),))</f>
        <v>C28</v>
      </c>
      <c r="C73" s="698">
        <f ca="1">IF(ROWS($1:62)&gt;COUNT(Dong2),"",OFFSET(TH!E$1,SMALL(Dong2,ROWS($1:62)),))</f>
        <v>42723</v>
      </c>
      <c r="D73" s="699" t="str">
        <f ca="1">IF(ROWS($1:62)&gt;COUNT(Dong2),"",OFFSET(TH!F$1,SMALL(Dong2,ROWS($1:62)),))</f>
        <v>Nộp tiền mặt</v>
      </c>
      <c r="E73" s="698" t="str">
        <f ca="1">IF(ROWS($1:62)&gt;COUNT(Dong2),"",IF(OFFSET(TH!M$1,SMALL(Dong2,ROWS($1:62)),)=$I$6,OFFSET(TH!L$1,SMALL(Dong2,ROWS($1:62)),),OFFSET(TH!M$1,SMALL(Dong2,ROWS($1:62)),)))</f>
        <v>1111</v>
      </c>
      <c r="F73" s="7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01">
        <f t="shared" ca="1" si="0"/>
        <v>12526161</v>
      </c>
      <c r="I73" s="702"/>
    </row>
    <row r="74" spans="1:9" s="681" customFormat="1" ht="18.75" customHeight="1">
      <c r="A74" s="698">
        <f ca="1">IF(ROWS($1:63)&gt;COUNT(Dong2),"",OFFSET(TH!C$1,SMALL(Dong2,ROWS($1:63)),))</f>
        <v>42723</v>
      </c>
      <c r="B74" s="698" t="str">
        <f ca="1">IF(ROWS($1:63)&gt;COUNT(Dong2),"",OFFSET(TH!D$1,SMALL(Dong2,ROWS($1:63)),))</f>
        <v>GBN</v>
      </c>
      <c r="C74" s="698">
        <f ca="1">IF(ROWS($1:63)&gt;COUNT(Dong2),"",OFFSET(TH!E$1,SMALL(Dong2,ROWS($1:63)),))</f>
        <v>42723</v>
      </c>
      <c r="D74" s="699" t="str">
        <f ca="1">IF(ROWS($1:63)&gt;COUNT(Dong2),"",OFFSET(TH!F$1,SMALL(Dong2,ROWS($1:63)),))</f>
        <v>Thanh toán tiền điện</v>
      </c>
      <c r="E74" s="698" t="str">
        <f ca="1">IF(ROWS($1:63)&gt;COUNT(Dong2),"",IF(OFFSET(TH!M$1,SMALL(Dong2,ROWS($1:63)),)=$I$6,OFFSET(TH!L$1,SMALL(Dong2,ROWS($1:63)),),OFFSET(TH!M$1,SMALL(Dong2,ROWS($1:63)),)))</f>
        <v>1388</v>
      </c>
      <c r="F74" s="7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01">
        <f t="shared" ca="1" si="0"/>
        <v>1239391</v>
      </c>
      <c r="I74" s="702"/>
    </row>
    <row r="75" spans="1:9" s="681" customFormat="1" ht="18.75" customHeight="1">
      <c r="A75" s="698">
        <f ca="1">IF(ROWS($1:64)&gt;COUNT(Dong2),"",OFFSET(TH!C$1,SMALL(Dong2,ROWS($1:64)),))</f>
        <v>42723</v>
      </c>
      <c r="B75" s="698" t="str">
        <f ca="1">IF(ROWS($1:64)&gt;COUNT(Dong2),"",OFFSET(TH!D$1,SMALL(Dong2,ROWS($1:64)),))</f>
        <v>GBN</v>
      </c>
      <c r="C75" s="698">
        <f ca="1">IF(ROWS($1:64)&gt;COUNT(Dong2),"",OFFSET(TH!E$1,SMALL(Dong2,ROWS($1:64)),))</f>
        <v>42723</v>
      </c>
      <c r="D75" s="699" t="str">
        <f ca="1">IF(ROWS($1:64)&gt;COUNT(Dong2),"",OFFSET(TH!F$1,SMALL(Dong2,ROWS($1:64)),))</f>
        <v>Phí kiểm đếm</v>
      </c>
      <c r="E75" s="698" t="str">
        <f ca="1">IF(ROWS($1:64)&gt;COUNT(Dong2),"",IF(OFFSET(TH!M$1,SMALL(Dong2,ROWS($1:64)),)=$I$6,OFFSET(TH!L$1,SMALL(Dong2,ROWS($1:64)),),OFFSET(TH!M$1,SMALL(Dong2,ROWS($1:64)),)))</f>
        <v>642</v>
      </c>
      <c r="F75" s="7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01">
        <f t="shared" ca="1" si="0"/>
        <v>1219391</v>
      </c>
      <c r="I75" s="702"/>
    </row>
    <row r="76" spans="1:9" s="681" customFormat="1" ht="18.75" customHeight="1">
      <c r="A76" s="698">
        <f ca="1">IF(ROWS($1:65)&gt;COUNT(Dong2),"",OFFSET(TH!C$1,SMALL(Dong2,ROWS($1:65)),))</f>
        <v>42723</v>
      </c>
      <c r="B76" s="698" t="str">
        <f ca="1">IF(ROWS($1:65)&gt;COUNT(Dong2),"",OFFSET(TH!D$1,SMALL(Dong2,ROWS($1:65)),))</f>
        <v>GBN</v>
      </c>
      <c r="C76" s="698">
        <f ca="1">IF(ROWS($1:65)&gt;COUNT(Dong2),"",OFFSET(TH!E$1,SMALL(Dong2,ROWS($1:65)),))</f>
        <v>42723</v>
      </c>
      <c r="D76" s="699" t="str">
        <f ca="1">IF(ROWS($1:65)&gt;COUNT(Dong2),"",OFFSET(TH!F$1,SMALL(Dong2,ROWS($1:65)),))</f>
        <v>VAT Phí kiểm đếm</v>
      </c>
      <c r="E76" s="698" t="str">
        <f ca="1">IF(ROWS($1:65)&gt;COUNT(Dong2),"",IF(OFFSET(TH!M$1,SMALL(Dong2,ROWS($1:65)),)=$I$6,OFFSET(TH!L$1,SMALL(Dong2,ROWS($1:65)),),OFFSET(TH!M$1,SMALL(Dong2,ROWS($1:65)),)))</f>
        <v>1331</v>
      </c>
      <c r="F76" s="7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01">
        <f t="shared" ca="1" si="0"/>
        <v>1217391</v>
      </c>
      <c r="I76" s="702"/>
    </row>
    <row r="77" spans="1:9" s="681" customFormat="1" ht="18.75" customHeight="1">
      <c r="A77" s="698">
        <f ca="1">IF(ROWS($1:66)&gt;COUNT(Dong2),"",OFFSET(TH!C$1,SMALL(Dong2,ROWS($1:66)),))</f>
        <v>42724</v>
      </c>
      <c r="B77" s="698" t="str">
        <f ca="1">IF(ROWS($1:66)&gt;COUNT(Dong2),"",OFFSET(TH!D$1,SMALL(Dong2,ROWS($1:66)),))</f>
        <v>C29</v>
      </c>
      <c r="C77" s="698">
        <f ca="1">IF(ROWS($1:66)&gt;COUNT(Dong2),"",OFFSET(TH!E$1,SMALL(Dong2,ROWS($1:66)),))</f>
        <v>42724</v>
      </c>
      <c r="D77" s="699" t="str">
        <f ca="1">IF(ROWS($1:66)&gt;COUNT(Dong2),"",OFFSET(TH!F$1,SMALL(Dong2,ROWS($1:66)),))</f>
        <v>Nộp tiền mặt</v>
      </c>
      <c r="E77" s="698" t="str">
        <f ca="1">IF(ROWS($1:66)&gt;COUNT(Dong2),"",IF(OFFSET(TH!M$1,SMALL(Dong2,ROWS($1:66)),)=$I$6,OFFSET(TH!L$1,SMALL(Dong2,ROWS($1:66)),),OFFSET(TH!M$1,SMALL(Dong2,ROWS($1:66)),)))</f>
        <v>1111</v>
      </c>
      <c r="F77" s="7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01">
        <f t="shared" ref="H77:H90" ca="1" si="1">IF(A77&lt;&gt;"",H76+F77-G77,0)</f>
        <v>31217391</v>
      </c>
      <c r="I77" s="702"/>
    </row>
    <row r="78" spans="1:9" s="681" customFormat="1" ht="18.75" customHeight="1">
      <c r="A78" s="698">
        <f ca="1">IF(ROWS($1:67)&gt;COUNT(Dong2),"",OFFSET(TH!C$1,SMALL(Dong2,ROWS($1:67)),))</f>
        <v>42724</v>
      </c>
      <c r="B78" s="698" t="str">
        <f ca="1">IF(ROWS($1:67)&gt;COUNT(Dong2),"",OFFSET(TH!D$1,SMALL(Dong2,ROWS($1:67)),))</f>
        <v>GBN</v>
      </c>
      <c r="C78" s="698">
        <f ca="1">IF(ROWS($1:67)&gt;COUNT(Dong2),"",OFFSET(TH!E$1,SMALL(Dong2,ROWS($1:67)),))</f>
        <v>42724</v>
      </c>
      <c r="D78" s="699" t="str">
        <f ca="1">IF(ROWS($1:67)&gt;COUNT(Dong2),"",OFFSET(TH!F$1,SMALL(Dong2,ROWS($1:67)),))</f>
        <v>Thanh toán tiền hàng</v>
      </c>
      <c r="E78" s="698" t="str">
        <f ca="1">IF(ROWS($1:67)&gt;COUNT(Dong2),"",IF(OFFSET(TH!M$1,SMALL(Dong2,ROWS($1:67)),)=$I$6,OFFSET(TH!L$1,SMALL(Dong2,ROWS($1:67)),),OFFSET(TH!M$1,SMALL(Dong2,ROWS($1:67)),)))</f>
        <v>331</v>
      </c>
      <c r="F78" s="7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01">
        <f t="shared" ca="1" si="1"/>
        <v>1217391</v>
      </c>
      <c r="I78" s="702"/>
    </row>
    <row r="79" spans="1:9" s="681" customFormat="1" ht="18.75" customHeight="1">
      <c r="A79" s="698">
        <f ca="1">IF(ROWS($1:68)&gt;COUNT(Dong2),"",OFFSET(TH!C$1,SMALL(Dong2,ROWS($1:68)),))</f>
        <v>42724</v>
      </c>
      <c r="B79" s="698" t="str">
        <f ca="1">IF(ROWS($1:68)&gt;COUNT(Dong2),"",OFFSET(TH!D$1,SMALL(Dong2,ROWS($1:68)),))</f>
        <v>GBN</v>
      </c>
      <c r="C79" s="698">
        <f ca="1">IF(ROWS($1:68)&gt;COUNT(Dong2),"",OFFSET(TH!E$1,SMALL(Dong2,ROWS($1:68)),))</f>
        <v>42724</v>
      </c>
      <c r="D79" s="699" t="str">
        <f ca="1">IF(ROWS($1:68)&gt;COUNT(Dong2),"",OFFSET(TH!F$1,SMALL(Dong2,ROWS($1:68)),))</f>
        <v>Phí chuyển tiền</v>
      </c>
      <c r="E79" s="698" t="str">
        <f ca="1">IF(ROWS($1:68)&gt;COUNT(Dong2),"",IF(OFFSET(TH!M$1,SMALL(Dong2,ROWS($1:68)),)=$I$6,OFFSET(TH!L$1,SMALL(Dong2,ROWS($1:68)),),OFFSET(TH!M$1,SMALL(Dong2,ROWS($1:68)),)))</f>
        <v>642</v>
      </c>
      <c r="F79" s="7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01">
        <f t="shared" ca="1" si="1"/>
        <v>1197391</v>
      </c>
      <c r="I79" s="702"/>
    </row>
    <row r="80" spans="1:9" s="681" customFormat="1" ht="18.75" customHeight="1">
      <c r="A80" s="698">
        <f ca="1">IF(ROWS($1:69)&gt;COUNT(Dong2),"",OFFSET(TH!C$1,SMALL(Dong2,ROWS($1:69)),))</f>
        <v>42724</v>
      </c>
      <c r="B80" s="698" t="str">
        <f ca="1">IF(ROWS($1:69)&gt;COUNT(Dong2),"",OFFSET(TH!D$1,SMALL(Dong2,ROWS($1:69)),))</f>
        <v>GBN</v>
      </c>
      <c r="C80" s="698">
        <f ca="1">IF(ROWS($1:69)&gt;COUNT(Dong2),"",OFFSET(TH!E$1,SMALL(Dong2,ROWS($1:69)),))</f>
        <v>42724</v>
      </c>
      <c r="D80" s="699" t="str">
        <f ca="1">IF(ROWS($1:69)&gt;COUNT(Dong2),"",OFFSET(TH!F$1,SMALL(Dong2,ROWS($1:69)),))</f>
        <v>VAT Phí chuyển tiền</v>
      </c>
      <c r="E80" s="698" t="str">
        <f ca="1">IF(ROWS($1:69)&gt;COUNT(Dong2),"",IF(OFFSET(TH!M$1,SMALL(Dong2,ROWS($1:69)),)=$I$6,OFFSET(TH!L$1,SMALL(Dong2,ROWS($1:69)),),OFFSET(TH!M$1,SMALL(Dong2,ROWS($1:69)),)))</f>
        <v>1331</v>
      </c>
      <c r="F80" s="7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01">
        <f t="shared" ca="1" si="1"/>
        <v>1195391</v>
      </c>
      <c r="I80" s="702"/>
    </row>
    <row r="81" spans="1:9" s="681" customFormat="1" ht="18.75" customHeight="1">
      <c r="A81" s="698">
        <f ca="1">IF(ROWS($1:70)&gt;COUNT(Dong2),"",OFFSET(TH!C$1,SMALL(Dong2,ROWS($1:70)),))</f>
        <v>42724</v>
      </c>
      <c r="B81" s="698" t="str">
        <f ca="1">IF(ROWS($1:70)&gt;COUNT(Dong2),"",OFFSET(TH!D$1,SMALL(Dong2,ROWS($1:70)),))</f>
        <v>GBN</v>
      </c>
      <c r="C81" s="698">
        <f ca="1">IF(ROWS($1:70)&gt;COUNT(Dong2),"",OFFSET(TH!E$1,SMALL(Dong2,ROWS($1:70)),))</f>
        <v>42724</v>
      </c>
      <c r="D81" s="699" t="str">
        <f ca="1">IF(ROWS($1:70)&gt;COUNT(Dong2),"",OFFSET(TH!F$1,SMALL(Dong2,ROWS($1:70)),))</f>
        <v>Phí kiểm đếm</v>
      </c>
      <c r="E81" s="698" t="str">
        <f ca="1">IF(ROWS($1:70)&gt;COUNT(Dong2),"",IF(OFFSET(TH!M$1,SMALL(Dong2,ROWS($1:70)),)=$I$6,OFFSET(TH!L$1,SMALL(Dong2,ROWS($1:70)),),OFFSET(TH!M$1,SMALL(Dong2,ROWS($1:70)),)))</f>
        <v>642</v>
      </c>
      <c r="F81" s="7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01">
        <f t="shared" ca="1" si="1"/>
        <v>1175391</v>
      </c>
      <c r="I81" s="702"/>
    </row>
    <row r="82" spans="1:9" s="681" customFormat="1" ht="18.75" customHeight="1">
      <c r="A82" s="698">
        <f ca="1">IF(ROWS($1:71)&gt;COUNT(Dong2),"",OFFSET(TH!C$1,SMALL(Dong2,ROWS($1:71)),))</f>
        <v>42724</v>
      </c>
      <c r="B82" s="698" t="str">
        <f ca="1">IF(ROWS($1:71)&gt;COUNT(Dong2),"",OFFSET(TH!D$1,SMALL(Dong2,ROWS($1:71)),))</f>
        <v>GBN</v>
      </c>
      <c r="C82" s="698">
        <f ca="1">IF(ROWS($1:71)&gt;COUNT(Dong2),"",OFFSET(TH!E$1,SMALL(Dong2,ROWS($1:71)),))</f>
        <v>42724</v>
      </c>
      <c r="D82" s="699" t="str">
        <f ca="1">IF(ROWS($1:71)&gt;COUNT(Dong2),"",OFFSET(TH!F$1,SMALL(Dong2,ROWS($1:71)),))</f>
        <v>VAT Phí kiểm đếm</v>
      </c>
      <c r="E82" s="698" t="str">
        <f ca="1">IF(ROWS($1:71)&gt;COUNT(Dong2),"",IF(OFFSET(TH!M$1,SMALL(Dong2,ROWS($1:71)),)=$I$6,OFFSET(TH!L$1,SMALL(Dong2,ROWS($1:71)),),OFFSET(TH!M$1,SMALL(Dong2,ROWS($1:71)),)))</f>
        <v>1331</v>
      </c>
      <c r="F82" s="7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01">
        <f t="shared" ca="1" si="1"/>
        <v>1173391</v>
      </c>
      <c r="I82" s="702"/>
    </row>
    <row r="83" spans="1:9" s="681" customFormat="1" ht="18.75" customHeight="1">
      <c r="A83" s="698">
        <f ca="1">IF(ROWS($1:72)&gt;COUNT(Dong2),"",OFFSET(TH!C$1,SMALL(Dong2,ROWS($1:72)),))</f>
        <v>42726</v>
      </c>
      <c r="B83" s="698" t="str">
        <f ca="1">IF(ROWS($1:72)&gt;COUNT(Dong2),"",OFFSET(TH!D$1,SMALL(Dong2,ROWS($1:72)),))</f>
        <v>GBC</v>
      </c>
      <c r="C83" s="698">
        <f ca="1">IF(ROWS($1:72)&gt;COUNT(Dong2),"",OFFSET(TH!E$1,SMALL(Dong2,ROWS($1:72)),))</f>
        <v>42726</v>
      </c>
      <c r="D83" s="699" t="str">
        <f ca="1">IF(ROWS($1:72)&gt;COUNT(Dong2),"",OFFSET(TH!F$1,SMALL(Dong2,ROWS($1:72)),))</f>
        <v>Hoàn trả lệnh chuyển tiền do sai tên</v>
      </c>
      <c r="E83" s="698" t="str">
        <f ca="1">IF(ROWS($1:72)&gt;COUNT(Dong2),"",IF(OFFSET(TH!M$1,SMALL(Dong2,ROWS($1:72)),)=$I$6,OFFSET(TH!L$1,SMALL(Dong2,ROWS($1:72)),),OFFSET(TH!M$1,SMALL(Dong2,ROWS($1:72)),)))</f>
        <v>1388</v>
      </c>
      <c r="F83" s="7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1">
        <f t="shared" ca="1" si="1"/>
        <v>12460161</v>
      </c>
      <c r="I83" s="702"/>
    </row>
    <row r="84" spans="1:9" s="681" customFormat="1" ht="18.75" customHeight="1">
      <c r="A84" s="698">
        <f ca="1">IF(ROWS($1:73)&gt;COUNT(Dong2),"",OFFSET(TH!C$1,SMALL(Dong2,ROWS($1:73)),))</f>
        <v>42726</v>
      </c>
      <c r="B84" s="698" t="str">
        <f ca="1">IF(ROWS($1:73)&gt;COUNT(Dong2),"",OFFSET(TH!D$1,SMALL(Dong2,ROWS($1:73)),))</f>
        <v>T40</v>
      </c>
      <c r="C84" s="698">
        <f ca="1">IF(ROWS($1:73)&gt;COUNT(Dong2),"",OFFSET(TH!E$1,SMALL(Dong2,ROWS($1:73)),))</f>
        <v>42726</v>
      </c>
      <c r="D84" s="699" t="str">
        <f ca="1">IF(ROWS($1:73)&gt;COUNT(Dong2),"",OFFSET(TH!F$1,SMALL(Dong2,ROWS($1:73)),))</f>
        <v>Rút tiền mặt</v>
      </c>
      <c r="E84" s="698" t="str">
        <f ca="1">IF(ROWS($1:73)&gt;COUNT(Dong2),"",IF(OFFSET(TH!M$1,SMALL(Dong2,ROWS($1:73)),)=$I$6,OFFSET(TH!L$1,SMALL(Dong2,ROWS($1:73)),),OFFSET(TH!M$1,SMALL(Dong2,ROWS($1:73)),)))</f>
        <v>1111</v>
      </c>
      <c r="F84" s="7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01">
        <f t="shared" ca="1" si="1"/>
        <v>1160161</v>
      </c>
      <c r="I84" s="702"/>
    </row>
    <row r="85" spans="1:9" s="681" customFormat="1" ht="18.75" customHeight="1">
      <c r="A85" s="698">
        <f ca="1">IF(ROWS($1:74)&gt;COUNT(Dong2),"",OFFSET(TH!C$1,SMALL(Dong2,ROWS($1:74)),))</f>
        <v>42731</v>
      </c>
      <c r="B85" s="698" t="str">
        <f ca="1">IF(ROWS($1:74)&gt;COUNT(Dong2),"",OFFSET(TH!D$1,SMALL(Dong2,ROWS($1:74)),))</f>
        <v>GBC</v>
      </c>
      <c r="C85" s="698">
        <f ca="1">IF(ROWS($1:74)&gt;COUNT(Dong2),"",OFFSET(TH!E$1,SMALL(Dong2,ROWS($1:74)),))</f>
        <v>42731</v>
      </c>
      <c r="D85" s="699" t="str">
        <f ca="1">IF(ROWS($1:74)&gt;COUNT(Dong2),"",OFFSET(TH!F$1,SMALL(Dong2,ROWS($1:74)),))</f>
        <v>Thu tiền hàng</v>
      </c>
      <c r="E85" s="698" t="str">
        <f ca="1">IF(ROWS($1:74)&gt;COUNT(Dong2),"",IF(OFFSET(TH!M$1,SMALL(Dong2,ROWS($1:74)),)=$I$6,OFFSET(TH!L$1,SMALL(Dong2,ROWS($1:74)),),OFFSET(TH!M$1,SMALL(Dong2,ROWS($1:74)),)))</f>
        <v>131</v>
      </c>
      <c r="F85" s="7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01">
        <f t="shared" ca="1" si="1"/>
        <v>6849801</v>
      </c>
      <c r="I85" s="702"/>
    </row>
    <row r="86" spans="1:9" s="681" customFormat="1" ht="18.75" customHeight="1">
      <c r="A86" s="698">
        <f ca="1">IF(ROWS($1:75)&gt;COUNT(Dong2),"",OFFSET(TH!C$1,SMALL(Dong2,ROWS($1:75)),))</f>
        <v>42732</v>
      </c>
      <c r="B86" s="698" t="str">
        <f ca="1">IF(ROWS($1:75)&gt;COUNT(Dong2),"",OFFSET(TH!D$1,SMALL(Dong2,ROWS($1:75)),))</f>
        <v>T47</v>
      </c>
      <c r="C86" s="698">
        <f ca="1">IF(ROWS($1:75)&gt;COUNT(Dong2),"",OFFSET(TH!E$1,SMALL(Dong2,ROWS($1:75)),))</f>
        <v>42732</v>
      </c>
      <c r="D86" s="699" t="str">
        <f ca="1">IF(ROWS($1:75)&gt;COUNT(Dong2),"",OFFSET(TH!F$1,SMALL(Dong2,ROWS($1:75)),))</f>
        <v>Rút tiền mặt</v>
      </c>
      <c r="E86" s="698" t="str">
        <f ca="1">IF(ROWS($1:75)&gt;COUNT(Dong2),"",IF(OFFSET(TH!M$1,SMALL(Dong2,ROWS($1:75)),)=$I$6,OFFSET(TH!L$1,SMALL(Dong2,ROWS($1:75)),),OFFSET(TH!M$1,SMALL(Dong2,ROWS($1:75)),)))</f>
        <v>1111</v>
      </c>
      <c r="F86" s="7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01">
        <f t="shared" ca="1" si="1"/>
        <v>1349801</v>
      </c>
      <c r="I86" s="702"/>
    </row>
    <row r="87" spans="1:9" s="681" customFormat="1" ht="18.75" customHeight="1">
      <c r="A87" s="698">
        <f ca="1">IF(ROWS($1:76)&gt;COUNT(Dong2),"",OFFSET(TH!C$1,SMALL(Dong2,ROWS($1:76)),))</f>
        <v>42733</v>
      </c>
      <c r="B87" s="698" t="str">
        <f ca="1">IF(ROWS($1:76)&gt;COUNT(Dong2),"",OFFSET(TH!D$1,SMALL(Dong2,ROWS($1:76)),))</f>
        <v>GBC</v>
      </c>
      <c r="C87" s="698">
        <f ca="1">IF(ROWS($1:76)&gt;COUNT(Dong2),"",OFFSET(TH!E$1,SMALL(Dong2,ROWS($1:76)),))</f>
        <v>42733</v>
      </c>
      <c r="D87" s="699" t="str">
        <f ca="1">IF(ROWS($1:76)&gt;COUNT(Dong2),"",OFFSET(TH!F$1,SMALL(Dong2,ROWS($1:76)),))</f>
        <v>Thu tiền hàng</v>
      </c>
      <c r="E87" s="698" t="str">
        <f ca="1">IF(ROWS($1:76)&gt;COUNT(Dong2),"",IF(OFFSET(TH!M$1,SMALL(Dong2,ROWS($1:76)),)=$I$6,OFFSET(TH!L$1,SMALL(Dong2,ROWS($1:76)),),OFFSET(TH!M$1,SMALL(Dong2,ROWS($1:76)),)))</f>
        <v>131</v>
      </c>
      <c r="F87" s="7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01">
        <f t="shared" ca="1" si="1"/>
        <v>10843901</v>
      </c>
      <c r="I87" s="702"/>
    </row>
    <row r="88" spans="1:9" s="681" customFormat="1" ht="18.75" customHeight="1">
      <c r="A88" s="698">
        <f ca="1">IF(ROWS($1:77)&gt;COUNT(Dong2),"",OFFSET(TH!C$1,SMALL(Dong2,ROWS($1:77)),))</f>
        <v>42734</v>
      </c>
      <c r="B88" s="698" t="str">
        <f ca="1">IF(ROWS($1:77)&gt;COUNT(Dong2),"",OFFSET(TH!D$1,SMALL(Dong2,ROWS($1:77)),))</f>
        <v>GBC</v>
      </c>
      <c r="C88" s="698">
        <f ca="1">IF(ROWS($1:77)&gt;COUNT(Dong2),"",OFFSET(TH!E$1,SMALL(Dong2,ROWS($1:77)),))</f>
        <v>42734</v>
      </c>
      <c r="D88" s="699" t="str">
        <f ca="1">IF(ROWS($1:77)&gt;COUNT(Dong2),"",OFFSET(TH!F$1,SMALL(Dong2,ROWS($1:77)),))</f>
        <v>Thu tiền hàng</v>
      </c>
      <c r="E88" s="698" t="str">
        <f ca="1">IF(ROWS($1:77)&gt;COUNT(Dong2),"",IF(OFFSET(TH!M$1,SMALL(Dong2,ROWS($1:77)),)=$I$6,OFFSET(TH!L$1,SMALL(Dong2,ROWS($1:77)),),OFFSET(TH!M$1,SMALL(Dong2,ROWS($1:77)),)))</f>
        <v>131</v>
      </c>
      <c r="F88" s="7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01">
        <f t="shared" ca="1" si="1"/>
        <v>25638188</v>
      </c>
      <c r="I88" s="702"/>
    </row>
    <row r="89" spans="1:9" s="681" customFormat="1" ht="18.75" customHeight="1">
      <c r="A89" s="698">
        <f ca="1">IF(ROWS($1:78)&gt;COUNT(Dong2),"",OFFSET(TH!C$1,SMALL(Dong2,ROWS($1:78)),))</f>
        <v>42734</v>
      </c>
      <c r="B89" s="698" t="str">
        <f ca="1">IF(ROWS($1:78)&gt;COUNT(Dong2),"",OFFSET(TH!D$1,SMALL(Dong2,ROWS($1:78)),))</f>
        <v>T49</v>
      </c>
      <c r="C89" s="698">
        <f ca="1">IF(ROWS($1:78)&gt;COUNT(Dong2),"",OFFSET(TH!E$1,SMALL(Dong2,ROWS($1:78)),))</f>
        <v>42734</v>
      </c>
      <c r="D89" s="699" t="str">
        <f ca="1">IF(ROWS($1:78)&gt;COUNT(Dong2),"",OFFSET(TH!F$1,SMALL(Dong2,ROWS($1:78)),))</f>
        <v>Rút tiền mặt</v>
      </c>
      <c r="E89" s="698" t="str">
        <f ca="1">IF(ROWS($1:78)&gt;COUNT(Dong2),"",IF(OFFSET(TH!M$1,SMALL(Dong2,ROWS($1:78)),)=$I$6,OFFSET(TH!L$1,SMALL(Dong2,ROWS($1:78)),),OFFSET(TH!M$1,SMALL(Dong2,ROWS($1:78)),)))</f>
        <v>1111</v>
      </c>
      <c r="F89" s="7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01">
        <f t="shared" ca="1" si="1"/>
        <v>16138188</v>
      </c>
      <c r="I89" s="702"/>
    </row>
    <row r="90" spans="1:9" s="681" customFormat="1" ht="18.75" customHeight="1">
      <c r="A90" s="698">
        <f ca="1">IF(ROWS($1:79)&gt;COUNT(Dong2),"",OFFSET(TH!C$1,SMALL(Dong2,ROWS($1:79)),))</f>
        <v>42735</v>
      </c>
      <c r="B90" s="698" t="str">
        <f ca="1">IF(ROWS($1:79)&gt;COUNT(Dong2),"",OFFSET(TH!D$1,SMALL(Dong2,ROWS($1:79)),))</f>
        <v>GBC</v>
      </c>
      <c r="C90" s="698">
        <f ca="1">IF(ROWS($1:79)&gt;COUNT(Dong2),"",OFFSET(TH!E$1,SMALL(Dong2,ROWS($1:79)),))</f>
        <v>42735</v>
      </c>
      <c r="D90" s="699" t="str">
        <f ca="1">IF(ROWS($1:79)&gt;COUNT(Dong2),"",OFFSET(TH!F$1,SMALL(Dong2,ROWS($1:79)),))</f>
        <v>Lãi tiền gửi</v>
      </c>
      <c r="E90" s="698" t="str">
        <f ca="1">IF(ROWS($1:79)&gt;COUNT(Dong2),"",IF(OFFSET(TH!M$1,SMALL(Dong2,ROWS($1:79)),)=$I$6,OFFSET(TH!L$1,SMALL(Dong2,ROWS($1:79)),),OFFSET(TH!M$1,SMALL(Dong2,ROWS($1:79)),)))</f>
        <v>515</v>
      </c>
      <c r="F90" s="7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1">
        <f t="shared" ca="1" si="1"/>
        <v>16140937</v>
      </c>
      <c r="I90" s="702"/>
    </row>
    <row r="91" spans="1:9" s="681" customFormat="1" ht="18.75" customHeight="1">
      <c r="A91" s="698">
        <f ca="1">IF(ROWS($1:80)&gt;COUNT(Dong2),"",OFFSET(TH!C$1,SMALL(Dong2,ROWS($1:80)),))</f>
        <v>42735</v>
      </c>
      <c r="B91" s="698" t="str">
        <f ca="1">IF(ROWS($1:80)&gt;COUNT(Dong2),"",OFFSET(TH!D$1,SMALL(Dong2,ROWS($1:80)),))</f>
        <v>GBN</v>
      </c>
      <c r="C91" s="698">
        <f ca="1">IF(ROWS($1:80)&gt;COUNT(Dong2),"",OFFSET(TH!E$1,SMALL(Dong2,ROWS($1:80)),))</f>
        <v>42735</v>
      </c>
      <c r="D91" s="699" t="str">
        <f ca="1">IF(ROWS($1:80)&gt;COUNT(Dong2),"",OFFSET(TH!F$1,SMALL(Dong2,ROWS($1:80)),))</f>
        <v>Phí quản lý tài khoản</v>
      </c>
      <c r="E91" s="698" t="str">
        <f ca="1">IF(ROWS($1:80)&gt;COUNT(Dong2),"",IF(OFFSET(TH!M$1,SMALL(Dong2,ROWS($1:80)),)=$I$6,OFFSET(TH!L$1,SMALL(Dong2,ROWS($1:80)),),OFFSET(TH!M$1,SMALL(Dong2,ROWS($1:80)),)))</f>
        <v>642</v>
      </c>
      <c r="F91" s="7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01">
        <f t="shared" ref="H91:H93" ca="1" si="2">IF(A91&lt;&gt;"",H90+F91-G91,0)</f>
        <v>16130937</v>
      </c>
      <c r="I91" s="702"/>
    </row>
    <row r="92" spans="1:9" s="681" customFormat="1" ht="18.75" customHeight="1">
      <c r="A92" s="698">
        <f ca="1">IF(ROWS($1:81)&gt;COUNT(Dong2),"",OFFSET(TH!C$1,SMALL(Dong2,ROWS($1:81)),))</f>
        <v>42735</v>
      </c>
      <c r="B92" s="698" t="str">
        <f ca="1">IF(ROWS($1:81)&gt;COUNT(Dong2),"",OFFSET(TH!D$1,SMALL(Dong2,ROWS($1:81)),))</f>
        <v>GBN</v>
      </c>
      <c r="C92" s="698">
        <f ca="1">IF(ROWS($1:81)&gt;COUNT(Dong2),"",OFFSET(TH!E$1,SMALL(Dong2,ROWS($1:81)),))</f>
        <v>42735</v>
      </c>
      <c r="D92" s="699" t="str">
        <f ca="1">IF(ROWS($1:81)&gt;COUNT(Dong2),"",OFFSET(TH!F$1,SMALL(Dong2,ROWS($1:81)),))</f>
        <v>VAT Phí quản lý tài khoản</v>
      </c>
      <c r="E92" s="698" t="str">
        <f ca="1">IF(ROWS($1:81)&gt;COUNT(Dong2),"",IF(OFFSET(TH!M$1,SMALL(Dong2,ROWS($1:81)),)=$I$6,OFFSET(TH!L$1,SMALL(Dong2,ROWS($1:81)),),OFFSET(TH!M$1,SMALL(Dong2,ROWS($1:81)),)))</f>
        <v>1331</v>
      </c>
      <c r="F92" s="7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01">
        <f t="shared" ca="1" si="2"/>
        <v>16129937</v>
      </c>
      <c r="I92" s="702"/>
    </row>
    <row r="93" spans="1:9" s="681" customFormat="1" ht="18.75" customHeight="1">
      <c r="A93" s="698" t="str">
        <f ca="1">IF(ROWS($1:82)&gt;COUNT(Dong2),"",OFFSET(TH!C$1,SMALL(Dong2,ROWS($1:82)),))</f>
        <v/>
      </c>
      <c r="B93" s="698" t="str">
        <f ca="1">IF(ROWS($1:82)&gt;COUNT(Dong2),"",OFFSET(TH!D$1,SMALL(Dong2,ROWS($1:82)),))</f>
        <v/>
      </c>
      <c r="C93" s="698" t="str">
        <f ca="1">IF(ROWS($1:82)&gt;COUNT(Dong2),"",OFFSET(TH!E$1,SMALL(Dong2,ROWS($1:82)),))</f>
        <v/>
      </c>
      <c r="D93" s="699" t="str">
        <f ca="1">IF(ROWS($1:82)&gt;COUNT(Dong2),"",OFFSET(TH!F$1,SMALL(Dong2,ROWS($1:82)),))</f>
        <v/>
      </c>
      <c r="E93" s="698" t="str">
        <f ca="1">IF(ROWS($1:82)&gt;COUNT(Dong2),"",IF(OFFSET(TH!M$1,SMALL(Dong2,ROWS($1:82)),)=$I$6,OFFSET(TH!L$1,SMALL(Dong2,ROWS($1:82)),),OFFSET(TH!M$1,SMALL(Dong2,ROWS($1:82)),)))</f>
        <v/>
      </c>
      <c r="F93" s="7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01">
        <f t="shared" ca="1" si="2"/>
        <v>0</v>
      </c>
      <c r="I93" s="702"/>
    </row>
    <row r="94" spans="1:9" s="681" customFormat="1" ht="18.75" customHeight="1">
      <c r="A94" s="698" t="str">
        <f ca="1">IF(ROWS($1:83)&gt;COUNT(Dong2),"",OFFSET(TH!C$1,SMALL(Dong2,ROWS($1:83)),))</f>
        <v/>
      </c>
      <c r="B94" s="698" t="str">
        <f ca="1">IF(ROWS($1:83)&gt;COUNT(Dong2),"",OFFSET(TH!D$1,SMALL(Dong2,ROWS($1:83)),))</f>
        <v/>
      </c>
      <c r="C94" s="698" t="str">
        <f ca="1">IF(ROWS($1:83)&gt;COUNT(Dong2),"",OFFSET(TH!E$1,SMALL(Dong2,ROWS($1:83)),))</f>
        <v/>
      </c>
      <c r="D94" s="699" t="str">
        <f ca="1">IF(ROWS($1:83)&gt;COUNT(Dong2),"",OFFSET(TH!F$1,SMALL(Dong2,ROWS($1:83)),))</f>
        <v/>
      </c>
      <c r="E94" s="698" t="str">
        <f ca="1">IF(ROWS($1:83)&gt;COUNT(Dong2),"",IF(OFFSET(TH!M$1,SMALL(Dong2,ROWS($1:83)),)=$I$6,OFFSET(TH!L$1,SMALL(Dong2,ROWS($1:83)),),OFFSET(TH!M$1,SMALL(Dong2,ROWS($1:83)),)))</f>
        <v/>
      </c>
      <c r="F94" s="7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01">
        <f t="shared" ref="H94" ca="1" si="3">IF(A94&lt;&gt;"",H93+F94-G94,0)</f>
        <v>0</v>
      </c>
      <c r="I94" s="702"/>
    </row>
    <row r="95" spans="1:9" ht="18.75" customHeight="1">
      <c r="A95" s="704"/>
      <c r="B95" s="705"/>
      <c r="C95" s="704"/>
      <c r="D95" s="695" t="s">
        <v>128</v>
      </c>
      <c r="E95" s="706"/>
      <c r="F95" s="696">
        <f ca="1">SUM(F12:F94)</f>
        <v>638553623</v>
      </c>
      <c r="G95" s="696">
        <f ca="1">SUM(G12:G94)</f>
        <v>642783770</v>
      </c>
      <c r="H95" s="696">
        <f ca="1">H11+F95-G95</f>
        <v>16129937</v>
      </c>
      <c r="I95" s="707"/>
    </row>
    <row r="96" spans="1:9" ht="18.75" customHeight="1">
      <c r="A96" s="704"/>
      <c r="B96" s="705"/>
      <c r="C96" s="704"/>
      <c r="D96" s="695" t="s">
        <v>10</v>
      </c>
      <c r="E96" s="706"/>
      <c r="F96" s="708"/>
      <c r="G96" s="708"/>
      <c r="H96" s="696">
        <f ca="1">H95</f>
        <v>16129937</v>
      </c>
      <c r="I96" s="706"/>
    </row>
    <row r="97" spans="1:12" ht="22.5" customHeight="1">
      <c r="A97" s="94" t="s">
        <v>149</v>
      </c>
      <c r="B97" s="709"/>
      <c r="C97" s="99"/>
      <c r="F97" s="601"/>
      <c r="I97" s="108"/>
    </row>
    <row r="98" spans="1:12">
      <c r="A98" s="675" t="str">
        <f ca="1">"- Ngày mở sổ: "&amp;DAY($A$12)&amp;"/"&amp;MONTH($A$12)&amp;"/ " &amp;YEAR($A$12)</f>
        <v>- Ngày mở sổ: 3/10/ 2016</v>
      </c>
      <c r="C98" s="99"/>
      <c r="F98" s="601"/>
      <c r="I98" s="108"/>
    </row>
    <row r="99" spans="1:12">
      <c r="A99" s="103"/>
      <c r="B99" s="100"/>
      <c r="C99" s="710"/>
      <c r="F99" s="60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711" t="s">
        <v>11</v>
      </c>
      <c r="C100" s="99"/>
      <c r="D100" s="711" t="s">
        <v>12</v>
      </c>
      <c r="F100" s="712"/>
      <c r="G100" s="713" t="s">
        <v>104</v>
      </c>
      <c r="H100" s="714"/>
      <c r="I100" s="715"/>
      <c r="J100" s="716"/>
      <c r="K100" s="103"/>
      <c r="L100" s="103"/>
    </row>
    <row r="101" spans="1:12">
      <c r="A101" s="99"/>
      <c r="B101" s="717" t="s">
        <v>13</v>
      </c>
      <c r="C101" s="99"/>
      <c r="D101" s="717" t="s">
        <v>13</v>
      </c>
      <c r="F101" s="718"/>
      <c r="G101" s="639" t="s">
        <v>131</v>
      </c>
      <c r="K101" s="719"/>
      <c r="L101" s="7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20" customWidth="1"/>
    <col min="2" max="2" width="45.28515625" style="720" customWidth="1"/>
    <col min="3" max="4" width="10.7109375" style="720" customWidth="1"/>
    <col min="5" max="6" width="13.85546875" style="720" customWidth="1"/>
    <col min="7" max="7" width="13" style="720" customWidth="1"/>
    <col min="8" max="8" width="9" style="720" customWidth="1"/>
    <col min="9" max="16384" width="8" style="720"/>
  </cols>
  <sheetData>
    <row r="1" spans="1:8">
      <c r="A1" s="380" t="str">
        <f>TH!$A$1</f>
        <v>Đơn vị: CÔNG TY TNHH BAO BÌ GIẤY KIM DUNG PHÁT</v>
      </c>
    </row>
    <row r="2" spans="1:8">
      <c r="A2" s="407" t="str">
        <f>TH!$A$2</f>
        <v>Địa chỉ: Ấp Rừng Sến, xã Mỹ Hạnh Bắc, Huyện Đức Hòa, Tỉnh Long An, Việt Nam</v>
      </c>
    </row>
    <row r="3" spans="1:8" ht="33" customHeight="1">
      <c r="A3" s="870" t="s">
        <v>326</v>
      </c>
      <c r="B3" s="870"/>
      <c r="C3" s="870"/>
      <c r="D3" s="870"/>
      <c r="E3" s="870"/>
      <c r="F3" s="870"/>
      <c r="G3" s="870"/>
      <c r="H3" s="870"/>
    </row>
    <row r="4" spans="1:8" s="721" customFormat="1" ht="22.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8" s="721" customFormat="1" ht="22.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8" s="721" customFormat="1" ht="22.5" customHeight="1">
      <c r="A6" s="723">
        <f t="shared" ref="A6:A42" si="0">IF(B6&lt;&gt;"",ROW()-5,"")</f>
        <v>1</v>
      </c>
      <c r="B6" s="724" t="s">
        <v>615</v>
      </c>
      <c r="C6" s="725"/>
      <c r="D6" s="725"/>
      <c r="E6" s="725">
        <f t="array" ref="E6">SUM(IF("131"&amp;B6=KHN&amp;KH,TH))</f>
        <v>10756570</v>
      </c>
      <c r="F6" s="725">
        <f t="array" ref="F6">SUM(IF("131"&amp;B6=KHC&amp;KH,TH))</f>
        <v>8270680</v>
      </c>
      <c r="G6" s="726">
        <f t="shared" ref="G6:G27" si="1">ROUND(MAX(C6+E6-D6-F6,0),2)</f>
        <v>2485890</v>
      </c>
      <c r="H6" s="726">
        <f t="shared" ref="H6:H27" si="2">ROUND(MAX(D6+F6-C6-E6,0),2)</f>
        <v>0</v>
      </c>
    </row>
    <row r="7" spans="1:8" s="721" customFormat="1" ht="22.5" customHeight="1">
      <c r="A7" s="723">
        <f t="shared" si="0"/>
        <v>2</v>
      </c>
      <c r="B7" s="724" t="s">
        <v>369</v>
      </c>
      <c r="C7" s="725"/>
      <c r="D7" s="725"/>
      <c r="E7" s="725">
        <f t="array" ref="E7">SUM(IF("131"&amp;B7=KHN&amp;KH,TH))</f>
        <v>227902092</v>
      </c>
      <c r="F7" s="725">
        <f t="array" ref="F7">SUM(IF("131"&amp;B7=KHC&amp;KH,TH))</f>
        <v>189896410</v>
      </c>
      <c r="G7" s="726">
        <f t="shared" si="1"/>
        <v>38005682</v>
      </c>
      <c r="H7" s="726">
        <f t="shared" si="2"/>
        <v>0</v>
      </c>
    </row>
    <row r="8" spans="1:8" s="721" customFormat="1" ht="22.5" customHeight="1">
      <c r="A8" s="723">
        <f t="shared" si="0"/>
        <v>3</v>
      </c>
      <c r="B8" s="724" t="s">
        <v>363</v>
      </c>
      <c r="C8" s="725"/>
      <c r="D8" s="725"/>
      <c r="E8" s="725">
        <f t="array" ref="E8">SUM(IF("131"&amp;B8=KHN&amp;KH,TH))</f>
        <v>58190495</v>
      </c>
      <c r="F8" s="725">
        <f t="array" ref="F8">SUM(IF("131"&amp;B8=KHC&amp;KH,TH))</f>
        <v>17681180</v>
      </c>
      <c r="G8" s="726">
        <f t="shared" si="1"/>
        <v>40509315</v>
      </c>
      <c r="H8" s="726">
        <f t="shared" si="2"/>
        <v>0</v>
      </c>
    </row>
    <row r="9" spans="1:8" s="721" customFormat="1" ht="22.5" customHeight="1">
      <c r="A9" s="723">
        <f t="shared" si="0"/>
        <v>4</v>
      </c>
      <c r="B9" s="724" t="s">
        <v>372</v>
      </c>
      <c r="C9" s="725"/>
      <c r="D9" s="725"/>
      <c r="E9" s="725">
        <f t="array" ref="E9">SUM(IF("131"&amp;B9=KHN&amp;KH,TH))</f>
        <v>12569920</v>
      </c>
      <c r="F9" s="725">
        <f t="array" ref="F9">SUM(IF("131"&amp;B9=KHC&amp;KH,TH))</f>
        <v>12569920</v>
      </c>
      <c r="G9" s="726">
        <f t="shared" si="1"/>
        <v>0</v>
      </c>
      <c r="H9" s="726">
        <f t="shared" si="2"/>
        <v>0</v>
      </c>
    </row>
    <row r="10" spans="1:8" s="721" customFormat="1" ht="22.5" customHeight="1">
      <c r="A10" s="723">
        <f t="shared" si="0"/>
        <v>5</v>
      </c>
      <c r="B10" s="724" t="s">
        <v>367</v>
      </c>
      <c r="C10" s="725"/>
      <c r="D10" s="725"/>
      <c r="E10" s="725">
        <f t="array" ref="E10">SUM(IF("131"&amp;B10=KHN&amp;KH,TH))</f>
        <v>81035035</v>
      </c>
      <c r="F10" s="725">
        <f t="array" ref="F10">SUM(IF("131"&amp;B10=KHC&amp;KH,TH))</f>
        <v>65079192</v>
      </c>
      <c r="G10" s="726">
        <f t="shared" si="1"/>
        <v>15955843</v>
      </c>
      <c r="H10" s="726">
        <f t="shared" si="2"/>
        <v>0</v>
      </c>
    </row>
    <row r="11" spans="1:8" s="721" customFormat="1" ht="22.5" customHeight="1">
      <c r="A11" s="723">
        <f t="shared" si="0"/>
        <v>6</v>
      </c>
      <c r="B11" s="724" t="s">
        <v>366</v>
      </c>
      <c r="C11" s="725"/>
      <c r="D11" s="725"/>
      <c r="E11" s="725">
        <f t="array" ref="E11">SUM(IF("131"&amp;B11=KHN&amp;KH,TH))</f>
        <v>12160500</v>
      </c>
      <c r="F11" s="725">
        <f t="array" ref="F11">SUM(IF("131"&amp;B11=KHC&amp;KH,TH))</f>
        <v>12160500</v>
      </c>
      <c r="G11" s="726">
        <f t="shared" si="1"/>
        <v>0</v>
      </c>
      <c r="H11" s="726">
        <f t="shared" si="2"/>
        <v>0</v>
      </c>
    </row>
    <row r="12" spans="1:8" s="721" customFormat="1" ht="22.5" customHeight="1">
      <c r="A12" s="723">
        <f t="shared" si="0"/>
        <v>7</v>
      </c>
      <c r="B12" s="724" t="s">
        <v>365</v>
      </c>
      <c r="C12" s="725"/>
      <c r="D12" s="725"/>
      <c r="E12" s="725">
        <f t="array" ref="E12">SUM(IF("131"&amp;B12=KHN&amp;KH,TH))</f>
        <v>122508320</v>
      </c>
      <c r="F12" s="725">
        <f t="array" ref="F12">SUM(IF("131"&amp;B12=KHC&amp;KH,TH))</f>
        <v>89892000</v>
      </c>
      <c r="G12" s="726">
        <f t="shared" si="1"/>
        <v>32616320</v>
      </c>
      <c r="H12" s="726">
        <f t="shared" si="2"/>
        <v>0</v>
      </c>
    </row>
    <row r="13" spans="1:8" s="721" customFormat="1" ht="22.5" customHeight="1">
      <c r="A13" s="723">
        <f t="shared" si="0"/>
        <v>8</v>
      </c>
      <c r="B13" s="724" t="s">
        <v>370</v>
      </c>
      <c r="C13" s="725"/>
      <c r="D13" s="725"/>
      <c r="E13" s="725">
        <f t="array" ref="E13">SUM(IF("131"&amp;B13=KHN&amp;KH,TH))</f>
        <v>60836600</v>
      </c>
      <c r="F13" s="725">
        <f t="array" ref="F13">SUM(IF("131"&amp;B13=KHC&amp;KH,TH))</f>
        <v>60836600</v>
      </c>
      <c r="G13" s="726">
        <f t="shared" si="1"/>
        <v>0</v>
      </c>
      <c r="H13" s="726">
        <f t="shared" si="2"/>
        <v>0</v>
      </c>
    </row>
    <row r="14" spans="1:8" s="721" customFormat="1" ht="22.5" customHeight="1">
      <c r="A14" s="723">
        <f t="shared" si="0"/>
        <v>9</v>
      </c>
      <c r="B14" s="724" t="s">
        <v>504</v>
      </c>
      <c r="C14" s="725"/>
      <c r="D14" s="725"/>
      <c r="E14" s="725">
        <f t="array" ref="E14">SUM(IF("131"&amp;B14=KHN&amp;KH,TH))</f>
        <v>2486000</v>
      </c>
      <c r="F14" s="725">
        <f t="array" ref="F14">SUM(IF("131"&amp;B14=KHC&amp;KH,TH))</f>
        <v>2486000</v>
      </c>
      <c r="G14" s="726">
        <f t="shared" si="1"/>
        <v>0</v>
      </c>
      <c r="H14" s="726">
        <f t="shared" si="2"/>
        <v>0</v>
      </c>
    </row>
    <row r="15" spans="1:8" s="721" customFormat="1" ht="22.5" customHeight="1">
      <c r="A15" s="723">
        <f t="shared" si="0"/>
        <v>10</v>
      </c>
      <c r="B15" s="724" t="s">
        <v>616</v>
      </c>
      <c r="C15" s="725"/>
      <c r="D15" s="725"/>
      <c r="E15" s="725">
        <f t="array" ref="E15">SUM(IF("131"&amp;B15=KHN&amp;KH,TH))</f>
        <v>31987175</v>
      </c>
      <c r="F15" s="725">
        <f t="array" ref="F15">SUM(IF("131"&amp;B15=KHC&amp;KH,TH))</f>
        <v>24112825</v>
      </c>
      <c r="G15" s="726">
        <f t="shared" si="1"/>
        <v>7874350</v>
      </c>
      <c r="H15" s="726">
        <f t="shared" si="2"/>
        <v>0</v>
      </c>
    </row>
    <row r="16" spans="1:8" s="721" customFormat="1" ht="22.5" customHeight="1">
      <c r="A16" s="723">
        <f t="shared" si="0"/>
        <v>11</v>
      </c>
      <c r="B16" s="727" t="s">
        <v>493</v>
      </c>
      <c r="C16" s="725"/>
      <c r="D16" s="725"/>
      <c r="E16" s="725">
        <f t="array" ref="E16">SUM(IF("131"&amp;B16=KHN&amp;KH,TH))</f>
        <v>1754474</v>
      </c>
      <c r="F16" s="725">
        <f t="array" ref="F16">SUM(IF("131"&amp;B16=KHC&amp;KH,TH))</f>
        <v>1754474</v>
      </c>
      <c r="G16" s="726">
        <f t="shared" si="1"/>
        <v>0</v>
      </c>
      <c r="H16" s="726">
        <f t="shared" si="2"/>
        <v>0</v>
      </c>
    </row>
    <row r="17" spans="1:8" s="721" customFormat="1" ht="22.5" customHeight="1">
      <c r="A17" s="723">
        <f t="shared" si="0"/>
        <v>12</v>
      </c>
      <c r="B17" s="728" t="s">
        <v>542</v>
      </c>
      <c r="C17" s="725"/>
      <c r="D17" s="725"/>
      <c r="E17" s="725">
        <f t="array" ref="E17">SUM(IF("131"&amp;B17=KHN&amp;KH,TH))</f>
        <v>104148000</v>
      </c>
      <c r="F17" s="725">
        <f t="array" ref="F17">SUM(IF("131"&amp;B17=KHC&amp;KH,TH))</f>
        <v>104148000</v>
      </c>
      <c r="G17" s="726">
        <f t="shared" si="1"/>
        <v>0</v>
      </c>
      <c r="H17" s="726">
        <f t="shared" si="2"/>
        <v>0</v>
      </c>
    </row>
    <row r="18" spans="1:8" s="721" customFormat="1" ht="22.5" customHeight="1">
      <c r="A18" s="723">
        <f t="shared" si="0"/>
        <v>13</v>
      </c>
      <c r="B18" s="724" t="s">
        <v>364</v>
      </c>
      <c r="C18" s="725"/>
      <c r="D18" s="725"/>
      <c r="E18" s="725">
        <f t="array" ref="E18">SUM(IF("131"&amp;B18=KHN&amp;KH,TH))</f>
        <v>44756030</v>
      </c>
      <c r="F18" s="725">
        <f t="array" ref="F18">SUM(IF("131"&amp;B18=KHC&amp;KH,TH))</f>
        <v>37163830</v>
      </c>
      <c r="G18" s="726">
        <f t="shared" si="1"/>
        <v>7592200</v>
      </c>
      <c r="H18" s="726">
        <f t="shared" si="2"/>
        <v>0</v>
      </c>
    </row>
    <row r="19" spans="1:8" s="721" customFormat="1" ht="22.5" customHeight="1">
      <c r="A19" s="723">
        <f t="shared" si="0"/>
        <v>14</v>
      </c>
      <c r="B19" s="728" t="s">
        <v>614</v>
      </c>
      <c r="C19" s="725"/>
      <c r="D19" s="725"/>
      <c r="E19" s="725">
        <f t="array" ref="E19">SUM(IF("131"&amp;B19=KHN&amp;KH,TH))</f>
        <v>12281500</v>
      </c>
      <c r="F19" s="725">
        <f t="array" ref="F19">SUM(IF("131"&amp;B19=KHC&amp;KH,TH))</f>
        <v>5929000</v>
      </c>
      <c r="G19" s="726">
        <f t="shared" si="1"/>
        <v>6352500</v>
      </c>
      <c r="H19" s="726">
        <f t="shared" si="2"/>
        <v>0</v>
      </c>
    </row>
    <row r="20" spans="1:8" s="721" customFormat="1" ht="22.5" customHeight="1">
      <c r="A20" s="723">
        <f t="shared" si="0"/>
        <v>15</v>
      </c>
      <c r="B20" s="728" t="s">
        <v>523</v>
      </c>
      <c r="C20" s="725"/>
      <c r="D20" s="725"/>
      <c r="E20" s="725">
        <f t="array" ref="E20">SUM(IF("131"&amp;B20=KHN&amp;KH,TH))</f>
        <v>30625892</v>
      </c>
      <c r="F20" s="725">
        <f t="array" ref="F20">SUM(IF("131"&amp;B20=KHC&amp;KH,TH))</f>
        <v>30625892</v>
      </c>
      <c r="G20" s="726">
        <f t="shared" si="1"/>
        <v>0</v>
      </c>
      <c r="H20" s="726">
        <f t="shared" si="2"/>
        <v>0</v>
      </c>
    </row>
    <row r="21" spans="1:8" s="721" customFormat="1" ht="22.5" customHeight="1">
      <c r="A21" s="723">
        <f t="shared" si="0"/>
        <v>16</v>
      </c>
      <c r="B21" s="724" t="s">
        <v>618</v>
      </c>
      <c r="C21" s="725"/>
      <c r="D21" s="725"/>
      <c r="E21" s="725">
        <f t="array" ref="E21">SUM(IF("131"&amp;B21=KHN&amp;KH,TH))</f>
        <v>12640100</v>
      </c>
      <c r="F21" s="725">
        <f t="array" ref="F21">SUM(IF("131"&amp;B21=KHC&amp;KH,TH))</f>
        <v>12640100</v>
      </c>
      <c r="G21" s="726">
        <f t="shared" si="1"/>
        <v>0</v>
      </c>
      <c r="H21" s="726">
        <f t="shared" si="2"/>
        <v>0</v>
      </c>
    </row>
    <row r="22" spans="1:8" s="721" customFormat="1" ht="22.5" customHeight="1">
      <c r="A22" s="723">
        <f t="shared" si="0"/>
        <v>17</v>
      </c>
      <c r="B22" s="724" t="s">
        <v>549</v>
      </c>
      <c r="C22" s="725"/>
      <c r="D22" s="725"/>
      <c r="E22" s="725">
        <f t="array" ref="E22">SUM(IF("131"&amp;B22=KHN&amp;KH,TH))</f>
        <v>8100840</v>
      </c>
      <c r="F22" s="725">
        <f t="array" ref="F22">SUM(IF("131"&amp;B22=KHC&amp;KH,TH))</f>
        <v>8100840</v>
      </c>
      <c r="G22" s="726">
        <f t="shared" si="1"/>
        <v>0</v>
      </c>
      <c r="H22" s="726">
        <f t="shared" si="2"/>
        <v>0</v>
      </c>
    </row>
    <row r="23" spans="1:8" s="721" customFormat="1" ht="22.5" customHeight="1">
      <c r="A23" s="723">
        <f t="shared" si="0"/>
        <v>18</v>
      </c>
      <c r="B23" s="728" t="s">
        <v>619</v>
      </c>
      <c r="C23" s="725"/>
      <c r="D23" s="725"/>
      <c r="E23" s="725">
        <f t="array" ref="E23">SUM(IF("131"&amp;B23=KHN&amp;KH,TH))</f>
        <v>2970000</v>
      </c>
      <c r="F23" s="725">
        <f t="array" ref="F23">SUM(IF("131"&amp;B23=KHC&amp;KH,TH))</f>
        <v>2970000</v>
      </c>
      <c r="G23" s="726">
        <f t="shared" si="1"/>
        <v>0</v>
      </c>
      <c r="H23" s="726">
        <f t="shared" si="2"/>
        <v>0</v>
      </c>
    </row>
    <row r="24" spans="1:8" s="721" customFormat="1" ht="22.5" customHeight="1">
      <c r="A24" s="723">
        <f t="shared" si="0"/>
        <v>19</v>
      </c>
      <c r="B24" s="724" t="s">
        <v>620</v>
      </c>
      <c r="C24" s="725"/>
      <c r="D24" s="725"/>
      <c r="E24" s="725">
        <f t="array" ref="E24">SUM(IF("131"&amp;B24=KHN&amp;KH,TH))</f>
        <v>22867790</v>
      </c>
      <c r="F24" s="725">
        <f t="array" ref="F24">SUM(IF("131"&amp;B24=KHC&amp;KH,TH))</f>
        <v>22867790</v>
      </c>
      <c r="G24" s="726">
        <f t="shared" si="1"/>
        <v>0</v>
      </c>
      <c r="H24" s="726">
        <f t="shared" si="2"/>
        <v>0</v>
      </c>
    </row>
    <row r="25" spans="1:8" s="721" customFormat="1" ht="22.5" customHeight="1">
      <c r="A25" s="723">
        <f t="shared" si="0"/>
        <v>20</v>
      </c>
      <c r="B25" s="724" t="s">
        <v>621</v>
      </c>
      <c r="C25" s="725"/>
      <c r="D25" s="725"/>
      <c r="E25" s="725">
        <f t="array" ref="E25">SUM(IF("131"&amp;B25=KHN&amp;KH,TH))</f>
        <v>9237800</v>
      </c>
      <c r="F25" s="725">
        <f t="array" ref="F25">SUM(IF("131"&amp;B25=KHC&amp;KH,TH))</f>
        <v>9237800</v>
      </c>
      <c r="G25" s="726">
        <f t="shared" si="1"/>
        <v>0</v>
      </c>
      <c r="H25" s="726">
        <f t="shared" si="2"/>
        <v>0</v>
      </c>
    </row>
    <row r="26" spans="1:8" s="721" customFormat="1" ht="22.5" customHeight="1">
      <c r="A26" s="723">
        <f t="shared" si="0"/>
        <v>21</v>
      </c>
      <c r="B26" s="724" t="s">
        <v>371</v>
      </c>
      <c r="C26" s="725"/>
      <c r="D26" s="725"/>
      <c r="E26" s="725">
        <f t="array" ref="E26">SUM(IF("131"&amp;B26=KHN&amp;KH,TH))</f>
        <v>19338000</v>
      </c>
      <c r="F26" s="725">
        <f t="array" ref="F26">SUM(IF("131"&amp;B26=KHC&amp;KH,TH))</f>
        <v>19338000</v>
      </c>
      <c r="G26" s="726">
        <f t="shared" si="1"/>
        <v>0</v>
      </c>
      <c r="H26" s="726">
        <f t="shared" si="2"/>
        <v>0</v>
      </c>
    </row>
    <row r="27" spans="1:8" s="721" customFormat="1" ht="22.5" customHeight="1">
      <c r="A27" s="723">
        <f t="shared" si="0"/>
        <v>22</v>
      </c>
      <c r="B27" s="724" t="s">
        <v>617</v>
      </c>
      <c r="C27" s="725"/>
      <c r="D27" s="725"/>
      <c r="E27" s="725">
        <f t="array" ref="E27">SUM(IF("131"&amp;B27=KHN&amp;KH,TH))</f>
        <v>5236000</v>
      </c>
      <c r="F27" s="725">
        <f t="array" ref="F27">SUM(IF("131"&amp;B27=KHC&amp;KH,TH))</f>
        <v>5236000</v>
      </c>
      <c r="G27" s="726">
        <f t="shared" si="1"/>
        <v>0</v>
      </c>
      <c r="H27" s="726">
        <f t="shared" si="2"/>
        <v>0</v>
      </c>
    </row>
    <row r="28" spans="1:8" s="721" customFormat="1" ht="22.5" customHeight="1">
      <c r="A28" s="723">
        <f t="shared" si="0"/>
        <v>23</v>
      </c>
      <c r="B28" s="728" t="s">
        <v>681</v>
      </c>
      <c r="C28" s="725"/>
      <c r="D28" s="725"/>
      <c r="E28" s="725">
        <f t="array" ref="E28">SUM(IF("131"&amp;B28=KHN&amp;KH,TH))</f>
        <v>329035740</v>
      </c>
      <c r="F28" s="725">
        <f t="array" ref="F28">SUM(IF("131"&amp;B28=KHC&amp;KH,TH))</f>
        <v>175296000</v>
      </c>
      <c r="G28" s="726">
        <f t="shared" ref="G28:G31" si="3">ROUND(MAX(C28+E28-D28-F28,0),2)</f>
        <v>153739740</v>
      </c>
      <c r="H28" s="726">
        <f t="shared" ref="H28:H31" si="4">ROUND(MAX(D28+F28-C28-E28,0),2)</f>
        <v>0</v>
      </c>
    </row>
    <row r="29" spans="1:8" s="721" customFormat="1" ht="22.5" customHeight="1">
      <c r="A29" s="723">
        <f t="shared" si="0"/>
        <v>24</v>
      </c>
      <c r="B29" s="729" t="s">
        <v>821</v>
      </c>
      <c r="C29" s="725"/>
      <c r="D29" s="725"/>
      <c r="E29" s="725">
        <f t="array" ref="E29">SUM(IF("131"&amp;B29=KHN&amp;KH,TH))</f>
        <v>13877600</v>
      </c>
      <c r="F29" s="725">
        <f t="array" ref="F29">SUM(IF("131"&amp;B29=KHC&amp;KH,TH))</f>
        <v>13877600</v>
      </c>
      <c r="G29" s="726">
        <f t="shared" si="3"/>
        <v>0</v>
      </c>
      <c r="H29" s="726">
        <f t="shared" si="4"/>
        <v>0</v>
      </c>
    </row>
    <row r="30" spans="1:8" s="721" customFormat="1" ht="22.5" customHeight="1">
      <c r="A30" s="723">
        <f t="shared" si="0"/>
        <v>25</v>
      </c>
      <c r="B30" s="728" t="s">
        <v>688</v>
      </c>
      <c r="C30" s="725"/>
      <c r="D30" s="725"/>
      <c r="E30" s="725">
        <f t="array" ref="E30">SUM(IF("131"&amp;B30=KHN&amp;KH,TH))</f>
        <v>38466230</v>
      </c>
      <c r="F30" s="725">
        <f t="array" ref="F30">SUM(IF("131"&amp;B30=KHC&amp;KH,TH))</f>
        <v>19463510</v>
      </c>
      <c r="G30" s="726">
        <f t="shared" si="3"/>
        <v>19002720</v>
      </c>
      <c r="H30" s="726">
        <f t="shared" si="4"/>
        <v>0</v>
      </c>
    </row>
    <row r="31" spans="1:8" s="721" customFormat="1" ht="22.5" customHeight="1">
      <c r="A31" s="723">
        <f t="shared" si="0"/>
        <v>26</v>
      </c>
      <c r="B31" s="724" t="s">
        <v>812</v>
      </c>
      <c r="C31" s="725"/>
      <c r="D31" s="725"/>
      <c r="E31" s="725">
        <f t="array" ref="E31">SUM(IF("131"&amp;B31=KHN&amp;KH,TH))</f>
        <v>488167350</v>
      </c>
      <c r="F31" s="725">
        <f t="array" ref="F31">SUM(IF("131"&amp;B31=KHC&amp;KH,TH))</f>
        <v>488167350</v>
      </c>
      <c r="G31" s="726">
        <f t="shared" si="3"/>
        <v>0</v>
      </c>
      <c r="H31" s="726">
        <f t="shared" si="4"/>
        <v>0</v>
      </c>
    </row>
    <row r="32" spans="1:8" s="721" customFormat="1" ht="22.5" customHeight="1">
      <c r="A32" s="723">
        <f t="shared" si="0"/>
        <v>27</v>
      </c>
      <c r="B32" s="724" t="s">
        <v>829</v>
      </c>
      <c r="C32" s="725"/>
      <c r="D32" s="725"/>
      <c r="E32" s="725">
        <f t="array" ref="E32">SUM(IF("131"&amp;B32=KHN&amp;KH,TH))</f>
        <v>15576000</v>
      </c>
      <c r="F32" s="725">
        <f t="array" ref="F32">SUM(IF("131"&amp;B32=KHC&amp;KH,TH))</f>
        <v>15576000</v>
      </c>
      <c r="G32" s="726">
        <f t="shared" ref="G32:G37" si="5">ROUND(MAX(C32+E32-D32-F32,0),2)</f>
        <v>0</v>
      </c>
      <c r="H32" s="726">
        <f t="shared" ref="H32:H37" si="6">ROUND(MAX(D32+F32-C32-E32,0),2)</f>
        <v>0</v>
      </c>
    </row>
    <row r="33" spans="1:8" s="721" customFormat="1" ht="22.5" customHeight="1">
      <c r="A33" s="723">
        <f t="shared" si="0"/>
        <v>28</v>
      </c>
      <c r="B33" s="724" t="s">
        <v>833</v>
      </c>
      <c r="C33" s="725"/>
      <c r="D33" s="725"/>
      <c r="E33" s="725">
        <f t="array" ref="E33">SUM(IF("131"&amp;B33=KHN&amp;KH,TH))</f>
        <v>4913700</v>
      </c>
      <c r="F33" s="725">
        <f t="array" ref="F33">SUM(IF("131"&amp;B33=KHC&amp;KH,TH))</f>
        <v>0</v>
      </c>
      <c r="G33" s="726">
        <f t="shared" si="5"/>
        <v>4913700</v>
      </c>
      <c r="H33" s="726">
        <f t="shared" si="6"/>
        <v>0</v>
      </c>
    </row>
    <row r="34" spans="1:8" s="721" customFormat="1" ht="22.5" customHeight="1">
      <c r="A34" s="723">
        <f t="shared" si="0"/>
        <v>29</v>
      </c>
      <c r="B34" s="724" t="s">
        <v>844</v>
      </c>
      <c r="C34" s="725"/>
      <c r="D34" s="725"/>
      <c r="E34" s="725">
        <f t="array" ref="E34">SUM(IF("131"&amp;B34=KHN&amp;KH,TH))</f>
        <v>41245518</v>
      </c>
      <c r="F34" s="725">
        <f t="array" ref="F34">SUM(IF("131"&amp;B34=KHC&amp;KH,TH))</f>
        <v>14794287</v>
      </c>
      <c r="G34" s="726">
        <f t="shared" si="5"/>
        <v>26451231</v>
      </c>
      <c r="H34" s="726">
        <f t="shared" si="6"/>
        <v>0</v>
      </c>
    </row>
    <row r="35" spans="1:8" s="721" customFormat="1" ht="22.5" customHeight="1">
      <c r="A35" s="723">
        <f t="shared" si="0"/>
        <v>30</v>
      </c>
      <c r="B35" s="724" t="s">
        <v>892</v>
      </c>
      <c r="C35" s="725"/>
      <c r="D35" s="725"/>
      <c r="E35" s="725">
        <f t="array" ref="E35">SUM(IF("131"&amp;B35=KHN&amp;KH,TH))</f>
        <v>9494100</v>
      </c>
      <c r="F35" s="725">
        <f t="array" ref="F35">SUM(IF("131"&amp;B35=KHC&amp;KH,TH))</f>
        <v>9494100</v>
      </c>
      <c r="G35" s="726">
        <f t="shared" si="5"/>
        <v>0</v>
      </c>
      <c r="H35" s="726">
        <f t="shared" si="6"/>
        <v>0</v>
      </c>
    </row>
    <row r="36" spans="1:8" s="721" customFormat="1" ht="22.5" customHeight="1">
      <c r="A36" s="723">
        <f t="shared" si="0"/>
        <v>31</v>
      </c>
      <c r="B36" s="729" t="s">
        <v>896</v>
      </c>
      <c r="C36" s="725"/>
      <c r="D36" s="725"/>
      <c r="E36" s="725">
        <f t="array" ref="E36">SUM(IF("131"&amp;B36=KHN&amp;KH,TH))</f>
        <v>3146220</v>
      </c>
      <c r="F36" s="725">
        <f t="array" ref="F36">SUM(IF("131"&amp;B36=KHC&amp;KH,TH))</f>
        <v>0</v>
      </c>
      <c r="G36" s="726">
        <f t="shared" si="5"/>
        <v>3146220</v>
      </c>
      <c r="H36" s="726">
        <f t="shared" si="6"/>
        <v>0</v>
      </c>
    </row>
    <row r="37" spans="1:8" s="721" customFormat="1" ht="22.5" customHeight="1">
      <c r="A37" s="723">
        <f t="shared" si="0"/>
        <v>32</v>
      </c>
      <c r="B37" s="724" t="s">
        <v>919</v>
      </c>
      <c r="C37" s="725"/>
      <c r="D37" s="725"/>
      <c r="E37" s="725">
        <f t="array" ref="E37">SUM(IF("131"&amp;B37=KHN&amp;KH,TH))</f>
        <v>11416900</v>
      </c>
      <c r="F37" s="725">
        <f t="array" ref="F37">SUM(IF("131"&amp;B37=KHC&amp;KH,TH))</f>
        <v>0</v>
      </c>
      <c r="G37" s="726">
        <f t="shared" si="5"/>
        <v>11416900</v>
      </c>
      <c r="H37" s="726">
        <f t="shared" si="6"/>
        <v>0</v>
      </c>
    </row>
    <row r="38" spans="1:8" s="721" customFormat="1" ht="22.5" customHeight="1">
      <c r="A38" s="723">
        <f t="shared" si="0"/>
        <v>33</v>
      </c>
      <c r="B38" s="724" t="s">
        <v>933</v>
      </c>
      <c r="C38" s="725"/>
      <c r="D38" s="725"/>
      <c r="E38" s="725">
        <f t="array" ref="E38">SUM(IF("131"&amp;B38=KHN&amp;KH,TH))</f>
        <v>3217500</v>
      </c>
      <c r="F38" s="725">
        <f t="array" ref="F38">SUM(IF("131"&amp;B38=KHC&amp;KH,TH))</f>
        <v>0</v>
      </c>
      <c r="G38" s="726">
        <f t="shared" ref="G38:G40" si="7">ROUND(MAX(C38+E38-D38-F38,0),2)</f>
        <v>3217500</v>
      </c>
      <c r="H38" s="726">
        <f t="shared" ref="H38:H40" si="8">ROUND(MAX(D38+F38-C38-E38,0),2)</f>
        <v>0</v>
      </c>
    </row>
    <row r="39" spans="1:8" s="721" customFormat="1" ht="22.5" customHeight="1">
      <c r="A39" s="723">
        <f t="shared" si="0"/>
        <v>34</v>
      </c>
      <c r="B39" s="724" t="s">
        <v>956</v>
      </c>
      <c r="C39" s="725"/>
      <c r="D39" s="725"/>
      <c r="E39" s="725">
        <f t="array" ref="E39">SUM(IF("131"&amp;B39=KHN&amp;KH,TH))</f>
        <v>15123108</v>
      </c>
      <c r="F39" s="725">
        <f t="array" ref="F39">SUM(IF("131"&amp;B39=KHC&amp;KH,TH))</f>
        <v>15123108</v>
      </c>
      <c r="G39" s="726">
        <f t="shared" si="7"/>
        <v>0</v>
      </c>
      <c r="H39" s="726">
        <f t="shared" si="8"/>
        <v>0</v>
      </c>
    </row>
    <row r="40" spans="1:8" s="721" customFormat="1" ht="22.5" customHeight="1">
      <c r="A40" s="723">
        <f t="shared" si="0"/>
        <v>35</v>
      </c>
      <c r="B40" s="724" t="s">
        <v>960</v>
      </c>
      <c r="C40" s="725"/>
      <c r="D40" s="725"/>
      <c r="E40" s="725">
        <f t="array" ref="E40">SUM(IF("131"&amp;B40=KHN&amp;KH,TH))</f>
        <v>2895200</v>
      </c>
      <c r="F40" s="725">
        <f t="array" ref="F40">SUM(IF("131"&amp;B40=KHC&amp;KH,TH))</f>
        <v>0</v>
      </c>
      <c r="G40" s="726">
        <f t="shared" si="7"/>
        <v>2895200</v>
      </c>
      <c r="H40" s="726">
        <f t="shared" si="8"/>
        <v>0</v>
      </c>
    </row>
    <row r="41" spans="1:8" s="721" customFormat="1" ht="22.5" customHeight="1">
      <c r="A41" s="723">
        <f t="shared" ref="A41" si="9">IF(B41&lt;&gt;"",ROW()-5,"")</f>
        <v>36</v>
      </c>
      <c r="B41" s="724" t="s">
        <v>1082</v>
      </c>
      <c r="C41" s="725"/>
      <c r="D41" s="725"/>
      <c r="E41" s="725">
        <f t="array" ref="E41">SUM(IF("131"&amp;B41=KHN&amp;KH,TH))</f>
        <v>37112086</v>
      </c>
      <c r="F41" s="725">
        <f t="array" ref="F41">SUM(IF("131"&amp;B41=KHC&amp;KH,TH))</f>
        <v>0</v>
      </c>
      <c r="G41" s="726">
        <f t="shared" ref="G41" si="10">ROUND(MAX(C41+E41-D41-F41,0),2)</f>
        <v>37112086</v>
      </c>
      <c r="H41" s="726">
        <f t="shared" ref="H41" si="11">ROUND(MAX(D41+F41-C41-E41,0),2)</f>
        <v>0</v>
      </c>
    </row>
    <row r="42" spans="1:8" s="721" customFormat="1" ht="22.5" customHeight="1">
      <c r="A42" s="723" t="str">
        <f t="shared" si="0"/>
        <v/>
      </c>
      <c r="B42" s="730"/>
      <c r="C42" s="725"/>
      <c r="D42" s="725"/>
      <c r="E42" s="725"/>
      <c r="F42" s="725"/>
      <c r="G42" s="726"/>
      <c r="H42" s="726"/>
    </row>
    <row r="43" spans="1:8" s="734" customFormat="1" ht="22.5" customHeight="1">
      <c r="A43" s="731"/>
      <c r="B43" s="732" t="s">
        <v>38</v>
      </c>
      <c r="C43" s="733">
        <f t="shared" ref="C43:H43" si="12">SUM(C6:C42)</f>
        <v>0</v>
      </c>
      <c r="D43" s="733">
        <f t="shared" si="12"/>
        <v>0</v>
      </c>
      <c r="E43" s="733">
        <f t="shared" si="12"/>
        <v>1908076385</v>
      </c>
      <c r="F43" s="733">
        <f t="shared" si="12"/>
        <v>1494788988</v>
      </c>
      <c r="G43" s="733">
        <f t="shared" si="12"/>
        <v>413287397</v>
      </c>
      <c r="H43" s="733">
        <f t="shared" si="12"/>
        <v>0</v>
      </c>
    </row>
    <row r="44" spans="1:8">
      <c r="D44" s="735">
        <f>D43-CDPS!C15</f>
        <v>0</v>
      </c>
      <c r="E44" s="736">
        <f>E43-CDPS!E14</f>
        <v>0</v>
      </c>
      <c r="F44" s="736">
        <f>F43-CDPS!F14</f>
        <v>0</v>
      </c>
      <c r="G44" s="735">
        <f>G43-CDPS!G14-H43</f>
        <v>0</v>
      </c>
    </row>
    <row r="45" spans="1:8">
      <c r="E45" s="736"/>
      <c r="F45" s="869" t="str">
        <f>"Ngày 31 tháng  12  năm  "&amp;YEAR(TH!$C$10)</f>
        <v>Ngày 31 tháng  12  năm  2016</v>
      </c>
      <c r="G45" s="869"/>
      <c r="H45" s="869"/>
    </row>
    <row r="46" spans="1:8">
      <c r="F46" s="869" t="s">
        <v>104</v>
      </c>
      <c r="G46" s="869"/>
      <c r="H46" s="869"/>
    </row>
    <row r="47" spans="1:8">
      <c r="E47" s="735"/>
      <c r="F47" s="869" t="s">
        <v>131</v>
      </c>
      <c r="G47" s="869"/>
      <c r="H47" s="869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48" customWidth="1"/>
    <col min="2" max="2" width="7.85546875" style="748" customWidth="1"/>
    <col min="3" max="3" width="9.140625" style="748" customWidth="1"/>
    <col min="4" max="4" width="33.28515625" style="748" customWidth="1"/>
    <col min="5" max="5" width="6.85546875" style="748" customWidth="1"/>
    <col min="6" max="9" width="13.7109375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329</v>
      </c>
    </row>
    <row r="7" spans="1:9" s="3" customFormat="1" ht="15.75" customHeight="1">
      <c r="D7" s="106" t="s">
        <v>44</v>
      </c>
      <c r="E7" s="880" t="s">
        <v>367</v>
      </c>
      <c r="F7" s="880"/>
      <c r="G7" s="880"/>
      <c r="H7" s="880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20.25" customHeight="1">
      <c r="A10" s="846" t="s">
        <v>20</v>
      </c>
      <c r="B10" s="877" t="s">
        <v>1</v>
      </c>
      <c r="C10" s="877"/>
      <c r="D10" s="846" t="s">
        <v>0</v>
      </c>
      <c r="E10" s="846" t="s">
        <v>14</v>
      </c>
      <c r="F10" s="878" t="s">
        <v>21</v>
      </c>
      <c r="G10" s="879"/>
      <c r="H10" s="878" t="s">
        <v>30</v>
      </c>
      <c r="I10" s="879"/>
    </row>
    <row r="11" spans="1:9" s="3" customFormat="1" ht="30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VLOOKUP($E$7,'131'!$B$6:$H$42,2,0)</f>
        <v>0</v>
      </c>
      <c r="I13" s="519">
        <f>VLOOKUP($E$7,'131'!$B$6:$H$42,3,0)</f>
        <v>0</v>
      </c>
    </row>
    <row r="14" spans="1:9" s="3" customFormat="1" ht="18" customHeight="1">
      <c r="A14" s="740">
        <f ca="1">IF(ROWS($1:1)&gt;COUNT(Dong14),"",OFFSET(TH!C$1,SMALL(Dong14,ROWS($1:1)),))</f>
        <v>42566</v>
      </c>
      <c r="B14" s="740" t="str">
        <f ca="1">IF(ROWS($1:1)&gt;COUNT(Dong14),"",OFFSET(TH!D$1,SMALL(Dong14,ROWS($1:1)),))</f>
        <v>TP/X02</v>
      </c>
      <c r="C14" s="740">
        <f ca="1">IF(ROWS($1:1)&gt;COUNT(Dong14),"",OFFSET(TH!E$1,SMALL(Dong14,ROWS($1:1)),))</f>
        <v>42566</v>
      </c>
      <c r="D14" s="741" t="str">
        <f ca="1">IF(ROWS($1:1)&gt;COUNT(Dong14),"",OFFSET(TH!F$1,SMALL(Dong14,ROWS($1:1)),))</f>
        <v>Thùng carton (117x87x5)</v>
      </c>
      <c r="E14" s="742" t="str">
        <f ca="1">IF(ROWS($1:1)&gt;COUNT(Dong14),"",IF(OFFSET(TH!L$1,SMALL(Dong14,ROWS($1:1)),)="331",OFFSET(TH!M$1,SMALL(Dong14,ROWS($1:1)),),OFFSET(TH!L$1,SMALL(Dong14,ROWS($1:1)),)))</f>
        <v>131</v>
      </c>
      <c r="F14" s="743">
        <f ca="1">IF(ROWS($1:1)&gt;COUNT(Dong14),"",IF(OFFSET(TH!L$1,SMALL(Dong14,ROWS($1:1)),)="131",OFFSET(TH!K$1,SMALL(Dong14,ROWS($1:1)),),0))</f>
        <v>1000000</v>
      </c>
      <c r="G14" s="743">
        <f ca="1">IF(ROWS($1:1)&gt;COUNT(Dong14),"",IF(OFFSET(TH!M$1,SMALL(Dong14,ROWS($1:1)),)="131",OFFSET(TH!K$1,SMALL(Dong14,ROWS($1:1)),),0))</f>
        <v>0</v>
      </c>
      <c r="H14" s="744">
        <f t="shared" ref="H14:H60" ca="1" si="0">IF(D14&lt;&gt;"",MAX(H13+F14-G14-I13,0),0)</f>
        <v>1000000</v>
      </c>
      <c r="I14" s="744">
        <f t="shared" ref="I14:I60" ca="1" si="1">IF(D14&lt;&gt;"",MAX(I13+G14-H13-F14,0),0)</f>
        <v>0</v>
      </c>
    </row>
    <row r="15" spans="1:9" s="3" customFormat="1" ht="18" customHeight="1">
      <c r="A15" s="740">
        <f ca="1">IF(ROWS($1:2)&gt;COUNT(Dong14),"",OFFSET(TH!C$1,SMALL(Dong14,ROWS($1:2)),))</f>
        <v>42566</v>
      </c>
      <c r="B15" s="740" t="str">
        <f ca="1">IF(ROWS($1:2)&gt;COUNT(Dong14),"",OFFSET(TH!D$1,SMALL(Dong14,ROWS($1:2)),))</f>
        <v>TP/X02</v>
      </c>
      <c r="C15" s="740">
        <f ca="1">IF(ROWS($1:2)&gt;COUNT(Dong14),"",OFFSET(TH!E$1,SMALL(Dong14,ROWS($1:2)),))</f>
        <v>42566</v>
      </c>
      <c r="D15" s="741" t="str">
        <f ca="1">IF(ROWS($1:2)&gt;COUNT(Dong14),"",OFFSET(TH!F$1,SMALL(Dong14,ROWS($1:2)),))</f>
        <v>Thùng carton (103x54x180)</v>
      </c>
      <c r="E15" s="742" t="str">
        <f ca="1">IF(ROWS($1:2)&gt;COUNT(Dong14),"",IF(OFFSET(TH!L$1,SMALL(Dong14,ROWS($1:2)),)="331",OFFSET(TH!M$1,SMALL(Dong14,ROWS($1:2)),),OFFSET(TH!L$1,SMALL(Dong14,ROWS($1:2)),)))</f>
        <v>131</v>
      </c>
      <c r="F15" s="743">
        <f ca="1">IF(ROWS($1:2)&gt;COUNT(Dong14),"",IF(OFFSET(TH!L$1,SMALL(Dong14,ROWS($1:2)),)="131",OFFSET(TH!K$1,SMALL(Dong14,ROWS($1:2)),),0))</f>
        <v>8479600</v>
      </c>
      <c r="G15" s="743">
        <f ca="1">IF(ROWS($1:2)&gt;COUNT(Dong14),"",IF(OFFSET(TH!M$1,SMALL(Dong14,ROWS($1:2)),)="131",OFFSET(TH!K$1,SMALL(Dong14,ROWS($1:2)),),0))</f>
        <v>0</v>
      </c>
      <c r="H15" s="744">
        <f t="shared" ca="1" si="0"/>
        <v>9479600</v>
      </c>
      <c r="I15" s="744">
        <f t="shared" ca="1" si="1"/>
        <v>0</v>
      </c>
    </row>
    <row r="16" spans="1:9" s="3" customFormat="1" ht="18" customHeight="1">
      <c r="A16" s="740">
        <f ca="1">IF(ROWS($1:3)&gt;COUNT(Dong14),"",OFFSET(TH!C$1,SMALL(Dong14,ROWS($1:3)),))</f>
        <v>42566</v>
      </c>
      <c r="B16" s="740" t="str">
        <f ca="1">IF(ROWS($1:3)&gt;COUNT(Dong14),"",OFFSET(TH!D$1,SMALL(Dong14,ROWS($1:3)),))</f>
        <v>TP/X02</v>
      </c>
      <c r="C16" s="740">
        <f ca="1">IF(ROWS($1:3)&gt;COUNT(Dong14),"",OFFSET(TH!E$1,SMALL(Dong14,ROWS($1:3)),))</f>
        <v>42566</v>
      </c>
      <c r="D16" s="741" t="str">
        <f ca="1">IF(ROWS($1:3)&gt;COUNT(Dong14),"",OFFSET(TH!F$1,SMALL(Dong14,ROWS($1:3)),))</f>
        <v>VAT Thùng carton</v>
      </c>
      <c r="E16" s="742" t="str">
        <f ca="1">IF(ROWS($1:3)&gt;COUNT(Dong14),"",IF(OFFSET(TH!L$1,SMALL(Dong14,ROWS($1:3)),)="331",OFFSET(TH!M$1,SMALL(Dong14,ROWS($1:3)),),OFFSET(TH!L$1,SMALL(Dong14,ROWS($1:3)),)))</f>
        <v>131</v>
      </c>
      <c r="F16" s="743">
        <f ca="1">IF(ROWS($1:3)&gt;COUNT(Dong14),"",IF(OFFSET(TH!L$1,SMALL(Dong14,ROWS($1:3)),)="131",OFFSET(TH!K$1,SMALL(Dong14,ROWS($1:3)),),0))</f>
        <v>947960</v>
      </c>
      <c r="G16" s="743">
        <f ca="1">IF(ROWS($1:3)&gt;COUNT(Dong14),"",IF(OFFSET(TH!M$1,SMALL(Dong14,ROWS($1:3)),)="131",OFFSET(TH!K$1,SMALL(Dong14,ROWS($1:3)),),0))</f>
        <v>0</v>
      </c>
      <c r="H16" s="744">
        <f t="shared" ca="1" si="0"/>
        <v>10427560</v>
      </c>
      <c r="I16" s="744">
        <f t="shared" ca="1" si="1"/>
        <v>0</v>
      </c>
    </row>
    <row r="17" spans="1:9" s="3" customFormat="1" ht="18" customHeight="1">
      <c r="A17" s="740">
        <f ca="1">IF(ROWS($1:4)&gt;COUNT(Dong14),"",OFFSET(TH!C$1,SMALL(Dong14,ROWS($1:4)),))</f>
        <v>42566</v>
      </c>
      <c r="B17" s="740" t="str">
        <f ca="1">IF(ROWS($1:4)&gt;COUNT(Dong14),"",OFFSET(TH!D$1,SMALL(Dong14,ROWS($1:4)),))</f>
        <v>T03</v>
      </c>
      <c r="C17" s="740">
        <f ca="1">IF(ROWS($1:4)&gt;COUNT(Dong14),"",OFFSET(TH!E$1,SMALL(Dong14,ROWS($1:4)),))</f>
        <v>42566</v>
      </c>
      <c r="D17" s="741" t="str">
        <f ca="1">IF(ROWS($1:4)&gt;COUNT(Dong14),"",OFFSET(TH!F$1,SMALL(Dong14,ROWS($1:4)),))</f>
        <v>Thu tiền hàng</v>
      </c>
      <c r="E17" s="742" t="str">
        <f ca="1">IF(ROWS($1:4)&gt;COUNT(Dong14),"",IF(OFFSET(TH!L$1,SMALL(Dong14,ROWS($1:4)),)="331",OFFSET(TH!M$1,SMALL(Dong14,ROWS($1:4)),),OFFSET(TH!L$1,SMALL(Dong14,ROWS($1:4)),)))</f>
        <v>1111</v>
      </c>
      <c r="F17" s="743">
        <f ca="1">IF(ROWS($1:4)&gt;COUNT(Dong14),"",IF(OFFSET(TH!L$1,SMALL(Dong14,ROWS($1:4)),)="131",OFFSET(TH!K$1,SMALL(Dong14,ROWS($1:4)),),0))</f>
        <v>0</v>
      </c>
      <c r="G17" s="743">
        <f ca="1">IF(ROWS($1:4)&gt;COUNT(Dong14),"",IF(OFFSET(TH!M$1,SMALL(Dong14,ROWS($1:4)),)="131",OFFSET(TH!K$1,SMALL(Dong14,ROWS($1:4)),),0))</f>
        <v>10427560</v>
      </c>
      <c r="H17" s="744">
        <f t="shared" ca="1" si="0"/>
        <v>0</v>
      </c>
      <c r="I17" s="744">
        <f t="shared" ca="1" si="1"/>
        <v>0</v>
      </c>
    </row>
    <row r="18" spans="1:9" s="3" customFormat="1" ht="18" customHeight="1">
      <c r="A18" s="740">
        <f ca="1">IF(ROWS($1:5)&gt;COUNT(Dong14),"",OFFSET(TH!C$1,SMALL(Dong14,ROWS($1:5)),))</f>
        <v>42597</v>
      </c>
      <c r="B18" s="740" t="str">
        <f ca="1">IF(ROWS($1:5)&gt;COUNT(Dong14),"",OFFSET(TH!D$1,SMALL(Dong14,ROWS($1:5)),))</f>
        <v>TP/X28</v>
      </c>
      <c r="C18" s="740">
        <f ca="1">IF(ROWS($1:5)&gt;COUNT(Dong14),"",OFFSET(TH!E$1,SMALL(Dong14,ROWS($1:5)),))</f>
        <v>42597</v>
      </c>
      <c r="D18" s="741" t="str">
        <f ca="1">IF(ROWS($1:5)&gt;COUNT(Dong14),"",OFFSET(TH!F$1,SMALL(Dong14,ROWS($1:5)),))</f>
        <v>Thùng carton (103x50x180)</v>
      </c>
      <c r="E18" s="742" t="str">
        <f ca="1">IF(ROWS($1:5)&gt;COUNT(Dong14),"",IF(OFFSET(TH!L$1,SMALL(Dong14,ROWS($1:5)),)="331",OFFSET(TH!M$1,SMALL(Dong14,ROWS($1:5)),),OFFSET(TH!L$1,SMALL(Dong14,ROWS($1:5)),)))</f>
        <v>131</v>
      </c>
      <c r="F18" s="743">
        <f ca="1">IF(ROWS($1:5)&gt;COUNT(Dong14),"",IF(OFFSET(TH!L$1,SMALL(Dong14,ROWS($1:5)),)="131",OFFSET(TH!K$1,SMALL(Dong14,ROWS($1:5)),),0))</f>
        <v>6168370</v>
      </c>
      <c r="G18" s="743">
        <f ca="1">IF(ROWS($1:5)&gt;COUNT(Dong14),"",IF(OFFSET(TH!M$1,SMALL(Dong14,ROWS($1:5)),)="131",OFFSET(TH!K$1,SMALL(Dong14,ROWS($1:5)),),0))</f>
        <v>0</v>
      </c>
      <c r="H18" s="744">
        <f t="shared" ca="1" si="0"/>
        <v>6168370</v>
      </c>
      <c r="I18" s="744">
        <f t="shared" ca="1" si="1"/>
        <v>0</v>
      </c>
    </row>
    <row r="19" spans="1:9" s="3" customFormat="1" ht="18" customHeight="1">
      <c r="A19" s="740">
        <f ca="1">IF(ROWS($1:6)&gt;COUNT(Dong14),"",OFFSET(TH!C$1,SMALL(Dong14,ROWS($1:6)),))</f>
        <v>42597</v>
      </c>
      <c r="B19" s="740" t="str">
        <f ca="1">IF(ROWS($1:6)&gt;COUNT(Dong14),"",OFFSET(TH!D$1,SMALL(Dong14,ROWS($1:6)),))</f>
        <v>TP/X28</v>
      </c>
      <c r="C19" s="740">
        <f ca="1">IF(ROWS($1:6)&gt;COUNT(Dong14),"",OFFSET(TH!E$1,SMALL(Dong14,ROWS($1:6)),))</f>
        <v>42597</v>
      </c>
      <c r="D19" s="741" t="str">
        <f ca="1">IF(ROWS($1:6)&gt;COUNT(Dong14),"",OFFSET(TH!F$1,SMALL(Dong14,ROWS($1:6)),))</f>
        <v>VAT Thùng carton</v>
      </c>
      <c r="E19" s="742" t="str">
        <f ca="1">IF(ROWS($1:6)&gt;COUNT(Dong14),"",IF(OFFSET(TH!L$1,SMALL(Dong14,ROWS($1:6)),)="331",OFFSET(TH!M$1,SMALL(Dong14,ROWS($1:6)),),OFFSET(TH!L$1,SMALL(Dong14,ROWS($1:6)),)))</f>
        <v>131</v>
      </c>
      <c r="F19" s="743">
        <f ca="1">IF(ROWS($1:6)&gt;COUNT(Dong14),"",IF(OFFSET(TH!L$1,SMALL(Dong14,ROWS($1:6)),)="131",OFFSET(TH!K$1,SMALL(Dong14,ROWS($1:6)),),0))</f>
        <v>616837</v>
      </c>
      <c r="G19" s="743">
        <f ca="1">IF(ROWS($1:6)&gt;COUNT(Dong14),"",IF(OFFSET(TH!M$1,SMALL(Dong14,ROWS($1:6)),)="131",OFFSET(TH!K$1,SMALL(Dong14,ROWS($1:6)),),0))</f>
        <v>0</v>
      </c>
      <c r="H19" s="744">
        <f t="shared" ca="1" si="0"/>
        <v>6785207</v>
      </c>
      <c r="I19" s="744">
        <f t="shared" ca="1" si="1"/>
        <v>0</v>
      </c>
    </row>
    <row r="20" spans="1:9" s="3" customFormat="1" ht="18" customHeight="1">
      <c r="A20" s="740">
        <f ca="1">IF(ROWS($1:7)&gt;COUNT(Dong14),"",OFFSET(TH!C$1,SMALL(Dong14,ROWS($1:7)),))</f>
        <v>42597</v>
      </c>
      <c r="B20" s="740" t="str">
        <f ca="1">IF(ROWS($1:7)&gt;COUNT(Dong14),"",OFFSET(TH!D$1,SMALL(Dong14,ROWS($1:7)),))</f>
        <v>T12</v>
      </c>
      <c r="C20" s="740">
        <f ca="1">IF(ROWS($1:7)&gt;COUNT(Dong14),"",OFFSET(TH!E$1,SMALL(Dong14,ROWS($1:7)),))</f>
        <v>42597</v>
      </c>
      <c r="D20" s="741" t="str">
        <f ca="1">IF(ROWS($1:7)&gt;COUNT(Dong14),"",OFFSET(TH!F$1,SMALL(Dong14,ROWS($1:7)),))</f>
        <v>Thu tiền hàng</v>
      </c>
      <c r="E20" s="742" t="str">
        <f ca="1">IF(ROWS($1:7)&gt;COUNT(Dong14),"",IF(OFFSET(TH!L$1,SMALL(Dong14,ROWS($1:7)),)="331",OFFSET(TH!M$1,SMALL(Dong14,ROWS($1:7)),),OFFSET(TH!L$1,SMALL(Dong14,ROWS($1:7)),)))</f>
        <v>1111</v>
      </c>
      <c r="F20" s="743">
        <f ca="1">IF(ROWS($1:7)&gt;COUNT(Dong14),"",IF(OFFSET(TH!L$1,SMALL(Dong14,ROWS($1:7)),)="131",OFFSET(TH!K$1,SMALL(Dong14,ROWS($1:7)),),0))</f>
        <v>0</v>
      </c>
      <c r="G20" s="743">
        <f ca="1">IF(ROWS($1:7)&gt;COUNT(Dong14),"",IF(OFFSET(TH!M$1,SMALL(Dong14,ROWS($1:7)),)="131",OFFSET(TH!K$1,SMALL(Dong14,ROWS($1:7)),),0))</f>
        <v>6785207</v>
      </c>
      <c r="H20" s="744">
        <f t="shared" ca="1" si="0"/>
        <v>0</v>
      </c>
      <c r="I20" s="744">
        <f t="shared" ca="1" si="1"/>
        <v>0</v>
      </c>
    </row>
    <row r="21" spans="1:9" s="3" customFormat="1" ht="18" customHeight="1">
      <c r="A21" s="740">
        <f ca="1">IF(ROWS($1:8)&gt;COUNT(Dong14),"",OFFSET(TH!C$1,SMALL(Dong14,ROWS($1:8)),))</f>
        <v>42605</v>
      </c>
      <c r="B21" s="740" t="str">
        <f ca="1">IF(ROWS($1:8)&gt;COUNT(Dong14),"",OFFSET(TH!D$1,SMALL(Dong14,ROWS($1:8)),))</f>
        <v>TP/X33</v>
      </c>
      <c r="C21" s="740">
        <f ca="1">IF(ROWS($1:8)&gt;COUNT(Dong14),"",OFFSET(TH!E$1,SMALL(Dong14,ROWS($1:8)),))</f>
        <v>42605</v>
      </c>
      <c r="D21" s="741" t="str">
        <f ca="1">IF(ROWS($1:8)&gt;COUNT(Dong14),"",OFFSET(TH!F$1,SMALL(Dong14,ROWS($1:8)),))</f>
        <v>Thùng carton (47x47x52)</v>
      </c>
      <c r="E21" s="742" t="str">
        <f ca="1">IF(ROWS($1:8)&gt;COUNT(Dong14),"",IF(OFFSET(TH!L$1,SMALL(Dong14,ROWS($1:8)),)="331",OFFSET(TH!M$1,SMALL(Dong14,ROWS($1:8)),),OFFSET(TH!L$1,SMALL(Dong14,ROWS($1:8)),)))</f>
        <v>131</v>
      </c>
      <c r="F21" s="743">
        <f ca="1">IF(ROWS($1:8)&gt;COUNT(Dong14),"",IF(OFFSET(TH!L$1,SMALL(Dong14,ROWS($1:8)),)="131",OFFSET(TH!K$1,SMALL(Dong14,ROWS($1:8)),),0))</f>
        <v>932060</v>
      </c>
      <c r="G21" s="743">
        <f ca="1">IF(ROWS($1:8)&gt;COUNT(Dong14),"",IF(OFFSET(TH!M$1,SMALL(Dong14,ROWS($1:8)),)="131",OFFSET(TH!K$1,SMALL(Dong14,ROWS($1:8)),),0))</f>
        <v>0</v>
      </c>
      <c r="H21" s="744">
        <f t="shared" ca="1" si="0"/>
        <v>932060</v>
      </c>
      <c r="I21" s="744">
        <f t="shared" ca="1" si="1"/>
        <v>0</v>
      </c>
    </row>
    <row r="22" spans="1:9" s="3" customFormat="1" ht="18" customHeight="1">
      <c r="A22" s="740">
        <f ca="1">IF(ROWS($1:9)&gt;COUNT(Dong14),"",OFFSET(TH!C$1,SMALL(Dong14,ROWS($1:9)),))</f>
        <v>42605</v>
      </c>
      <c r="B22" s="740" t="str">
        <f ca="1">IF(ROWS($1:9)&gt;COUNT(Dong14),"",OFFSET(TH!D$1,SMALL(Dong14,ROWS($1:9)),))</f>
        <v>TP/X33</v>
      </c>
      <c r="C22" s="740">
        <f ca="1">IF(ROWS($1:9)&gt;COUNT(Dong14),"",OFFSET(TH!E$1,SMALL(Dong14,ROWS($1:9)),))</f>
        <v>42605</v>
      </c>
      <c r="D22" s="741" t="str">
        <f ca="1">IF(ROWS($1:9)&gt;COUNT(Dong14),"",OFFSET(TH!F$1,SMALL(Dong14,ROWS($1:9)),))</f>
        <v>Thùng carton (103x54x180)</v>
      </c>
      <c r="E22" s="742" t="str">
        <f ca="1">IF(ROWS($1:9)&gt;COUNT(Dong14),"",IF(OFFSET(TH!L$1,SMALL(Dong14,ROWS($1:9)),)="331",OFFSET(TH!M$1,SMALL(Dong14,ROWS($1:9)),),OFFSET(TH!L$1,SMALL(Dong14,ROWS($1:9)),)))</f>
        <v>131</v>
      </c>
      <c r="F22" s="743">
        <f ca="1">IF(ROWS($1:9)&gt;COUNT(Dong14),"",IF(OFFSET(TH!L$1,SMALL(Dong14,ROWS($1:9)),)="131",OFFSET(TH!K$1,SMALL(Dong14,ROWS($1:9)),),0))</f>
        <v>4093600</v>
      </c>
      <c r="G22" s="743">
        <f ca="1">IF(ROWS($1:9)&gt;COUNT(Dong14),"",IF(OFFSET(TH!M$1,SMALL(Dong14,ROWS($1:9)),)="131",OFFSET(TH!K$1,SMALL(Dong14,ROWS($1:9)),),0))</f>
        <v>0</v>
      </c>
      <c r="H22" s="744">
        <f t="shared" ca="1" si="0"/>
        <v>5025660</v>
      </c>
      <c r="I22" s="744">
        <f t="shared" ca="1" si="1"/>
        <v>0</v>
      </c>
    </row>
    <row r="23" spans="1:9" s="3" customFormat="1" ht="18" customHeight="1">
      <c r="A23" s="740">
        <f ca="1">IF(ROWS($1:10)&gt;COUNT(Dong14),"",OFFSET(TH!C$1,SMALL(Dong14,ROWS($1:10)),))</f>
        <v>42605</v>
      </c>
      <c r="B23" s="740" t="str">
        <f ca="1">IF(ROWS($1:10)&gt;COUNT(Dong14),"",OFFSET(TH!D$1,SMALL(Dong14,ROWS($1:10)),))</f>
        <v>TP/X33</v>
      </c>
      <c r="C23" s="740">
        <f ca="1">IF(ROWS($1:10)&gt;COUNT(Dong14),"",OFFSET(TH!E$1,SMALL(Dong14,ROWS($1:10)),))</f>
        <v>42605</v>
      </c>
      <c r="D23" s="741" t="str">
        <f ca="1">IF(ROWS($1:10)&gt;COUNT(Dong14),"",OFFSET(TH!F$1,SMALL(Dong14,ROWS($1:10)),))</f>
        <v>VAT Thùng carton</v>
      </c>
      <c r="E23" s="742" t="str">
        <f ca="1">IF(ROWS($1:10)&gt;COUNT(Dong14),"",IF(OFFSET(TH!L$1,SMALL(Dong14,ROWS($1:10)),)="331",OFFSET(TH!M$1,SMALL(Dong14,ROWS($1:10)),),OFFSET(TH!L$1,SMALL(Dong14,ROWS($1:10)),)))</f>
        <v>131</v>
      </c>
      <c r="F23" s="743">
        <f ca="1">IF(ROWS($1:10)&gt;COUNT(Dong14),"",IF(OFFSET(TH!L$1,SMALL(Dong14,ROWS($1:10)),)="131",OFFSET(TH!K$1,SMALL(Dong14,ROWS($1:10)),),0))</f>
        <v>502566</v>
      </c>
      <c r="G23" s="743">
        <f ca="1">IF(ROWS($1:10)&gt;COUNT(Dong14),"",IF(OFFSET(TH!M$1,SMALL(Dong14,ROWS($1:10)),)="131",OFFSET(TH!K$1,SMALL(Dong14,ROWS($1:10)),),0))</f>
        <v>0</v>
      </c>
      <c r="H23" s="744">
        <f t="shared" ca="1" si="0"/>
        <v>5528226</v>
      </c>
      <c r="I23" s="744">
        <f t="shared" ca="1" si="1"/>
        <v>0</v>
      </c>
    </row>
    <row r="24" spans="1:9" s="3" customFormat="1" ht="18" customHeight="1">
      <c r="A24" s="740">
        <f ca="1">IF(ROWS($1:11)&gt;COUNT(Dong14),"",OFFSET(TH!C$1,SMALL(Dong14,ROWS($1:11)),))</f>
        <v>42605</v>
      </c>
      <c r="B24" s="740" t="str">
        <f ca="1">IF(ROWS($1:11)&gt;COUNT(Dong14),"",OFFSET(TH!D$1,SMALL(Dong14,ROWS($1:11)),))</f>
        <v>T17</v>
      </c>
      <c r="C24" s="740">
        <f ca="1">IF(ROWS($1:11)&gt;COUNT(Dong14),"",OFFSET(TH!E$1,SMALL(Dong14,ROWS($1:11)),))</f>
        <v>42605</v>
      </c>
      <c r="D24" s="741" t="str">
        <f ca="1">IF(ROWS($1:11)&gt;COUNT(Dong14),"",OFFSET(TH!F$1,SMALL(Dong14,ROWS($1:11)),))</f>
        <v>Thu tiền hàng</v>
      </c>
      <c r="E24" s="742" t="str">
        <f ca="1">IF(ROWS($1:11)&gt;COUNT(Dong14),"",IF(OFFSET(TH!L$1,SMALL(Dong14,ROWS($1:11)),)="331",OFFSET(TH!M$1,SMALL(Dong14,ROWS($1:11)),),OFFSET(TH!L$1,SMALL(Dong14,ROWS($1:11)),)))</f>
        <v>1111</v>
      </c>
      <c r="F24" s="743">
        <f ca="1">IF(ROWS($1:11)&gt;COUNT(Dong14),"",IF(OFFSET(TH!L$1,SMALL(Dong14,ROWS($1:11)),)="131",OFFSET(TH!K$1,SMALL(Dong14,ROWS($1:11)),),0))</f>
        <v>0</v>
      </c>
      <c r="G24" s="743">
        <f ca="1">IF(ROWS($1:11)&gt;COUNT(Dong14),"",IF(OFFSET(TH!M$1,SMALL(Dong14,ROWS($1:11)),)="131",OFFSET(TH!K$1,SMALL(Dong14,ROWS($1:11)),),0))</f>
        <v>5528226</v>
      </c>
      <c r="H24" s="744">
        <f t="shared" ca="1" si="0"/>
        <v>0</v>
      </c>
      <c r="I24" s="744">
        <f t="shared" ca="1" si="1"/>
        <v>0</v>
      </c>
    </row>
    <row r="25" spans="1:9" s="3" customFormat="1" ht="18" customHeight="1">
      <c r="A25" s="740">
        <f ca="1">IF(ROWS($1:12)&gt;COUNT(Dong14),"",OFFSET(TH!C$1,SMALL(Dong14,ROWS($1:12)),))</f>
        <v>42611</v>
      </c>
      <c r="B25" s="740" t="str">
        <f ca="1">IF(ROWS($1:12)&gt;COUNT(Dong14),"",OFFSET(TH!D$1,SMALL(Dong14,ROWS($1:12)),))</f>
        <v>TP/X40</v>
      </c>
      <c r="C25" s="740">
        <f ca="1">IF(ROWS($1:12)&gt;COUNT(Dong14),"",OFFSET(TH!E$1,SMALL(Dong14,ROWS($1:12)),))</f>
        <v>42611</v>
      </c>
      <c r="D25" s="741" t="str">
        <f ca="1">IF(ROWS($1:12)&gt;COUNT(Dong14),"",OFFSET(TH!F$1,SMALL(Dong14,ROWS($1:12)),))</f>
        <v>Thùng carton (103x50x180)</v>
      </c>
      <c r="E25" s="742" t="str">
        <f ca="1">IF(ROWS($1:12)&gt;COUNT(Dong14),"",IF(OFFSET(TH!L$1,SMALL(Dong14,ROWS($1:12)),)="331",OFFSET(TH!M$1,SMALL(Dong14,ROWS($1:12)),),OFFSET(TH!L$1,SMALL(Dong14,ROWS($1:12)),)))</f>
        <v>131</v>
      </c>
      <c r="F25" s="743">
        <f ca="1">IF(ROWS($1:12)&gt;COUNT(Dong14),"",IF(OFFSET(TH!L$1,SMALL(Dong14,ROWS($1:12)),)="131",OFFSET(TH!K$1,SMALL(Dong14,ROWS($1:12)),),0))</f>
        <v>7591840</v>
      </c>
      <c r="G25" s="743">
        <f ca="1">IF(ROWS($1:12)&gt;COUNT(Dong14),"",IF(OFFSET(TH!M$1,SMALL(Dong14,ROWS($1:12)),)="131",OFFSET(TH!K$1,SMALL(Dong14,ROWS($1:12)),),0))</f>
        <v>0</v>
      </c>
      <c r="H25" s="744">
        <f t="shared" ca="1" si="0"/>
        <v>7591840</v>
      </c>
      <c r="I25" s="744">
        <f t="shared" ca="1" si="1"/>
        <v>0</v>
      </c>
    </row>
    <row r="26" spans="1:9" s="3" customFormat="1" ht="18" customHeight="1">
      <c r="A26" s="740">
        <f ca="1">IF(ROWS($1:13)&gt;COUNT(Dong14),"",OFFSET(TH!C$1,SMALL(Dong14,ROWS($1:13)),))</f>
        <v>42611</v>
      </c>
      <c r="B26" s="740" t="str">
        <f ca="1">IF(ROWS($1:13)&gt;COUNT(Dong14),"",OFFSET(TH!D$1,SMALL(Dong14,ROWS($1:13)),))</f>
        <v>TP/X40</v>
      </c>
      <c r="C26" s="740">
        <f ca="1">IF(ROWS($1:13)&gt;COUNT(Dong14),"",OFFSET(TH!E$1,SMALL(Dong14,ROWS($1:13)),))</f>
        <v>42611</v>
      </c>
      <c r="D26" s="741" t="str">
        <f ca="1">IF(ROWS($1:13)&gt;COUNT(Dong14),"",OFFSET(TH!F$1,SMALL(Dong14,ROWS($1:13)),))</f>
        <v>VAT Thùng carton</v>
      </c>
      <c r="E26" s="742" t="str">
        <f ca="1">IF(ROWS($1:13)&gt;COUNT(Dong14),"",IF(OFFSET(TH!L$1,SMALL(Dong14,ROWS($1:13)),)="331",OFFSET(TH!M$1,SMALL(Dong14,ROWS($1:13)),),OFFSET(TH!L$1,SMALL(Dong14,ROWS($1:13)),)))</f>
        <v>131</v>
      </c>
      <c r="F26" s="743">
        <f ca="1">IF(ROWS($1:13)&gt;COUNT(Dong14),"",IF(OFFSET(TH!L$1,SMALL(Dong14,ROWS($1:13)),)="131",OFFSET(TH!K$1,SMALL(Dong14,ROWS($1:13)),),0))</f>
        <v>759184</v>
      </c>
      <c r="G26" s="743">
        <f ca="1">IF(ROWS($1:13)&gt;COUNT(Dong14),"",IF(OFFSET(TH!M$1,SMALL(Dong14,ROWS($1:13)),)="131",OFFSET(TH!K$1,SMALL(Dong14,ROWS($1:13)),),0))</f>
        <v>0</v>
      </c>
      <c r="H26" s="744">
        <f t="shared" ca="1" si="0"/>
        <v>8351024</v>
      </c>
      <c r="I26" s="744">
        <f t="shared" ca="1" si="1"/>
        <v>0</v>
      </c>
    </row>
    <row r="27" spans="1:9" s="3" customFormat="1" ht="18" customHeight="1">
      <c r="A27" s="740">
        <f ca="1">IF(ROWS($1:14)&gt;COUNT(Dong14),"",OFFSET(TH!C$1,SMALL(Dong14,ROWS($1:14)),))</f>
        <v>42611</v>
      </c>
      <c r="B27" s="740" t="str">
        <f ca="1">IF(ROWS($1:14)&gt;COUNT(Dong14),"",OFFSET(TH!D$1,SMALL(Dong14,ROWS($1:14)),))</f>
        <v>T22</v>
      </c>
      <c r="C27" s="740">
        <f ca="1">IF(ROWS($1:14)&gt;COUNT(Dong14),"",OFFSET(TH!E$1,SMALL(Dong14,ROWS($1:14)),))</f>
        <v>42611</v>
      </c>
      <c r="D27" s="741" t="str">
        <f ca="1">IF(ROWS($1:14)&gt;COUNT(Dong14),"",OFFSET(TH!F$1,SMALL(Dong14,ROWS($1:14)),))</f>
        <v>Thu tiền hàng</v>
      </c>
      <c r="E27" s="742" t="str">
        <f ca="1">IF(ROWS($1:14)&gt;COUNT(Dong14),"",IF(OFFSET(TH!L$1,SMALL(Dong14,ROWS($1:14)),)="331",OFFSET(TH!M$1,SMALL(Dong14,ROWS($1:14)),),OFFSET(TH!L$1,SMALL(Dong14,ROWS($1:14)),)))</f>
        <v>1111</v>
      </c>
      <c r="F27" s="743">
        <f ca="1">IF(ROWS($1:14)&gt;COUNT(Dong14),"",IF(OFFSET(TH!L$1,SMALL(Dong14,ROWS($1:14)),)="131",OFFSET(TH!K$1,SMALL(Dong14,ROWS($1:14)),),0))</f>
        <v>0</v>
      </c>
      <c r="G27" s="743">
        <f ca="1">IF(ROWS($1:14)&gt;COUNT(Dong14),"",IF(OFFSET(TH!M$1,SMALL(Dong14,ROWS($1:14)),)="131",OFFSET(TH!K$1,SMALL(Dong14,ROWS($1:14)),),0))</f>
        <v>8351024</v>
      </c>
      <c r="H27" s="744">
        <f t="shared" ca="1" si="0"/>
        <v>0</v>
      </c>
      <c r="I27" s="744">
        <f t="shared" ca="1" si="1"/>
        <v>0</v>
      </c>
    </row>
    <row r="28" spans="1:9" s="3" customFormat="1" ht="18" customHeight="1">
      <c r="A28" s="740">
        <f ca="1">IF(ROWS($1:15)&gt;COUNT(Dong14),"",OFFSET(TH!C$1,SMALL(Dong14,ROWS($1:15)),))</f>
        <v>42620</v>
      </c>
      <c r="B28" s="740" t="str">
        <f ca="1">IF(ROWS($1:15)&gt;COUNT(Dong14),"",OFFSET(TH!D$1,SMALL(Dong14,ROWS($1:15)),))</f>
        <v>TP/X52</v>
      </c>
      <c r="C28" s="740">
        <f ca="1">IF(ROWS($1:15)&gt;COUNT(Dong14),"",OFFSET(TH!E$1,SMALL(Dong14,ROWS($1:15)),))</f>
        <v>42620</v>
      </c>
      <c r="D28" s="741" t="str">
        <f ca="1">IF(ROWS($1:15)&gt;COUNT(Dong14),"",OFFSET(TH!F$1,SMALL(Dong14,ROWS($1:15)),))</f>
        <v>Thùng carton (103x50x180)</v>
      </c>
      <c r="E28" s="742" t="str">
        <f ca="1">IF(ROWS($1:15)&gt;COUNT(Dong14),"",IF(OFFSET(TH!L$1,SMALL(Dong14,ROWS($1:15)),)="331",OFFSET(TH!M$1,SMALL(Dong14,ROWS($1:15)),),OFFSET(TH!L$1,SMALL(Dong14,ROWS($1:15)),)))</f>
        <v>131</v>
      </c>
      <c r="F28" s="743">
        <f ca="1">IF(ROWS($1:15)&gt;COUNT(Dong14),"",IF(OFFSET(TH!L$1,SMALL(Dong14,ROWS($1:15)),)="131",OFFSET(TH!K$1,SMALL(Dong14,ROWS($1:15)),),0))</f>
        <v>2846940</v>
      </c>
      <c r="G28" s="743">
        <f ca="1">IF(ROWS($1:15)&gt;COUNT(Dong14),"",IF(OFFSET(TH!M$1,SMALL(Dong14,ROWS($1:15)),)="131",OFFSET(TH!K$1,SMALL(Dong14,ROWS($1:15)),),0))</f>
        <v>0</v>
      </c>
      <c r="H28" s="744">
        <f t="shared" ca="1" si="0"/>
        <v>2846940</v>
      </c>
      <c r="I28" s="744">
        <f t="shared" ca="1" si="1"/>
        <v>0</v>
      </c>
    </row>
    <row r="29" spans="1:9" s="3" customFormat="1" ht="18" customHeight="1">
      <c r="A29" s="740">
        <f ca="1">IF(ROWS($1:16)&gt;COUNT(Dong14),"",OFFSET(TH!C$1,SMALL(Dong14,ROWS($1:16)),))</f>
        <v>42620</v>
      </c>
      <c r="B29" s="740" t="str">
        <f ca="1">IF(ROWS($1:16)&gt;COUNT(Dong14),"",OFFSET(TH!D$1,SMALL(Dong14,ROWS($1:16)),))</f>
        <v>TP/X52</v>
      </c>
      <c r="C29" s="740">
        <f ca="1">IF(ROWS($1:16)&gt;COUNT(Dong14),"",OFFSET(TH!E$1,SMALL(Dong14,ROWS($1:16)),))</f>
        <v>42620</v>
      </c>
      <c r="D29" s="741" t="str">
        <f ca="1">IF(ROWS($1:16)&gt;COUNT(Dong14),"",OFFSET(TH!F$1,SMALL(Dong14,ROWS($1:16)),))</f>
        <v>Thùng carton (122x54x180)</v>
      </c>
      <c r="E29" s="742" t="str">
        <f ca="1">IF(ROWS($1:16)&gt;COUNT(Dong14),"",IF(OFFSET(TH!L$1,SMALL(Dong14,ROWS($1:16)),)="331",OFFSET(TH!M$1,SMALL(Dong14,ROWS($1:16)),),OFFSET(TH!L$1,SMALL(Dong14,ROWS($1:16)),)))</f>
        <v>131</v>
      </c>
      <c r="F29" s="743">
        <f ca="1">IF(ROWS($1:16)&gt;COUNT(Dong14),"",IF(OFFSET(TH!L$1,SMALL(Dong14,ROWS($1:16)),)="131",OFFSET(TH!K$1,SMALL(Dong14,ROWS($1:16)),),0))</f>
        <v>1090600</v>
      </c>
      <c r="G29" s="743">
        <f ca="1">IF(ROWS($1:16)&gt;COUNT(Dong14),"",IF(OFFSET(TH!M$1,SMALL(Dong14,ROWS($1:16)),)="131",OFFSET(TH!K$1,SMALL(Dong14,ROWS($1:16)),),0))</f>
        <v>0</v>
      </c>
      <c r="H29" s="744">
        <f t="shared" ca="1" si="0"/>
        <v>3937540</v>
      </c>
      <c r="I29" s="744">
        <f t="shared" ca="1" si="1"/>
        <v>0</v>
      </c>
    </row>
    <row r="30" spans="1:9" s="3" customFormat="1" ht="18" customHeight="1">
      <c r="A30" s="740">
        <f ca="1">IF(ROWS($1:17)&gt;COUNT(Dong14),"",OFFSET(TH!C$1,SMALL(Dong14,ROWS($1:17)),))</f>
        <v>42620</v>
      </c>
      <c r="B30" s="740" t="str">
        <f ca="1">IF(ROWS($1:17)&gt;COUNT(Dong14),"",OFFSET(TH!D$1,SMALL(Dong14,ROWS($1:17)),))</f>
        <v>TP/X52</v>
      </c>
      <c r="C30" s="740">
        <f ca="1">IF(ROWS($1:17)&gt;COUNT(Dong14),"",OFFSET(TH!E$1,SMALL(Dong14,ROWS($1:17)),))</f>
        <v>42620</v>
      </c>
      <c r="D30" s="741" t="str">
        <f ca="1">IF(ROWS($1:17)&gt;COUNT(Dong14),"",OFFSET(TH!F$1,SMALL(Dong14,ROWS($1:17)),))</f>
        <v>VAT Thùng carton</v>
      </c>
      <c r="E30" s="742" t="str">
        <f ca="1">IF(ROWS($1:17)&gt;COUNT(Dong14),"",IF(OFFSET(TH!L$1,SMALL(Dong14,ROWS($1:17)),)="331",OFFSET(TH!M$1,SMALL(Dong14,ROWS($1:17)),),OFFSET(TH!L$1,SMALL(Dong14,ROWS($1:17)),)))</f>
        <v>131</v>
      </c>
      <c r="F30" s="743">
        <f ca="1">IF(ROWS($1:17)&gt;COUNT(Dong14),"",IF(OFFSET(TH!L$1,SMALL(Dong14,ROWS($1:17)),)="131",OFFSET(TH!K$1,SMALL(Dong14,ROWS($1:17)),),0))</f>
        <v>393754</v>
      </c>
      <c r="G30" s="743">
        <f ca="1">IF(ROWS($1:17)&gt;COUNT(Dong14),"",IF(OFFSET(TH!M$1,SMALL(Dong14,ROWS($1:17)),)="131",OFFSET(TH!K$1,SMALL(Dong14,ROWS($1:17)),),0))</f>
        <v>0</v>
      </c>
      <c r="H30" s="744">
        <f t="shared" ca="1" si="0"/>
        <v>4331294</v>
      </c>
      <c r="I30" s="744">
        <f t="shared" ca="1" si="1"/>
        <v>0</v>
      </c>
    </row>
    <row r="31" spans="1:9" s="3" customFormat="1" ht="18" customHeight="1">
      <c r="A31" s="740">
        <f ca="1">IF(ROWS($1:18)&gt;COUNT(Dong14),"",OFFSET(TH!C$1,SMALL(Dong14,ROWS($1:18)),))</f>
        <v>42620</v>
      </c>
      <c r="B31" s="740" t="str">
        <f ca="1">IF(ROWS($1:18)&gt;COUNT(Dong14),"",OFFSET(TH!D$1,SMALL(Dong14,ROWS($1:18)),))</f>
        <v>T28</v>
      </c>
      <c r="C31" s="740">
        <f ca="1">IF(ROWS($1:18)&gt;COUNT(Dong14),"",OFFSET(TH!E$1,SMALL(Dong14,ROWS($1:18)),))</f>
        <v>42620</v>
      </c>
      <c r="D31" s="741" t="str">
        <f ca="1">IF(ROWS($1:18)&gt;COUNT(Dong14),"",OFFSET(TH!F$1,SMALL(Dong14,ROWS($1:18)),))</f>
        <v>Thu tiền hàng</v>
      </c>
      <c r="E31" s="742" t="str">
        <f ca="1">IF(ROWS($1:18)&gt;COUNT(Dong14),"",IF(OFFSET(TH!L$1,SMALL(Dong14,ROWS($1:18)),)="331",OFFSET(TH!M$1,SMALL(Dong14,ROWS($1:18)),),OFFSET(TH!L$1,SMALL(Dong14,ROWS($1:18)),)))</f>
        <v>1111</v>
      </c>
      <c r="F31" s="743">
        <f ca="1">IF(ROWS($1:18)&gt;COUNT(Dong14),"",IF(OFFSET(TH!L$1,SMALL(Dong14,ROWS($1:18)),)="131",OFFSET(TH!K$1,SMALL(Dong14,ROWS($1:18)),),0))</f>
        <v>0</v>
      </c>
      <c r="G31" s="743">
        <f ca="1">IF(ROWS($1:18)&gt;COUNT(Dong14),"",IF(OFFSET(TH!M$1,SMALL(Dong14,ROWS($1:18)),)="131",OFFSET(TH!K$1,SMALL(Dong14,ROWS($1:18)),),0))</f>
        <v>4331294</v>
      </c>
      <c r="H31" s="744">
        <f t="shared" ca="1" si="0"/>
        <v>0</v>
      </c>
      <c r="I31" s="744">
        <f t="shared" ca="1" si="1"/>
        <v>0</v>
      </c>
    </row>
    <row r="32" spans="1:9" s="3" customFormat="1" ht="18" customHeight="1">
      <c r="A32" s="740">
        <f ca="1">IF(ROWS($1:19)&gt;COUNT(Dong14),"",OFFSET(TH!C$1,SMALL(Dong14,ROWS($1:19)),))</f>
        <v>42647</v>
      </c>
      <c r="B32" s="740" t="str">
        <f ca="1">IF(ROWS($1:19)&gt;COUNT(Dong14),"",OFFSET(TH!D$1,SMALL(Dong14,ROWS($1:19)),))</f>
        <v>TP/X02</v>
      </c>
      <c r="C32" s="740">
        <f ca="1">IF(ROWS($1:19)&gt;COUNT(Dong14),"",OFFSET(TH!E$1,SMALL(Dong14,ROWS($1:19)),))</f>
        <v>42647</v>
      </c>
      <c r="D32" s="741" t="str">
        <f ca="1">IF(ROWS($1:19)&gt;COUNT(Dong14),"",OFFSET(TH!F$1,SMALL(Dong14,ROWS($1:19)),))</f>
        <v>Thùng carton (48x23x22)</v>
      </c>
      <c r="E32" s="742" t="str">
        <f ca="1">IF(ROWS($1:19)&gt;COUNT(Dong14),"",IF(OFFSET(TH!L$1,SMALL(Dong14,ROWS($1:19)),)="331",OFFSET(TH!M$1,SMALL(Dong14,ROWS($1:19)),),OFFSET(TH!L$1,SMALL(Dong14,ROWS($1:19)),)))</f>
        <v>131</v>
      </c>
      <c r="F32" s="743">
        <f ca="1">IF(ROWS($1:19)&gt;COUNT(Dong14),"",IF(OFFSET(TH!L$1,SMALL(Dong14,ROWS($1:19)),)="131",OFFSET(TH!K$1,SMALL(Dong14,ROWS($1:19)),),0))</f>
        <v>6728305</v>
      </c>
      <c r="G32" s="743">
        <f ca="1">IF(ROWS($1:19)&gt;COUNT(Dong14),"",IF(OFFSET(TH!M$1,SMALL(Dong14,ROWS($1:19)),)="131",OFFSET(TH!K$1,SMALL(Dong14,ROWS($1:19)),),0))</f>
        <v>0</v>
      </c>
      <c r="H32" s="744">
        <f t="shared" ca="1" si="0"/>
        <v>6728305</v>
      </c>
      <c r="I32" s="744">
        <f t="shared" ca="1" si="1"/>
        <v>0</v>
      </c>
    </row>
    <row r="33" spans="1:9" s="3" customFormat="1" ht="18" customHeight="1">
      <c r="A33" s="740">
        <f ca="1">IF(ROWS($1:20)&gt;COUNT(Dong14),"",OFFSET(TH!C$1,SMALL(Dong14,ROWS($1:20)),))</f>
        <v>42647</v>
      </c>
      <c r="B33" s="740" t="str">
        <f ca="1">IF(ROWS($1:20)&gt;COUNT(Dong14),"",OFFSET(TH!D$1,SMALL(Dong14,ROWS($1:20)),))</f>
        <v>TP/X02</v>
      </c>
      <c r="C33" s="740">
        <f ca="1">IF(ROWS($1:20)&gt;COUNT(Dong14),"",OFFSET(TH!E$1,SMALL(Dong14,ROWS($1:20)),))</f>
        <v>42647</v>
      </c>
      <c r="D33" s="741" t="str">
        <f ca="1">IF(ROWS($1:20)&gt;COUNT(Dong14),"",OFFSET(TH!F$1,SMALL(Dong14,ROWS($1:20)),))</f>
        <v>Thùng carton (49x23.5x30.5)</v>
      </c>
      <c r="E33" s="742" t="str">
        <f ca="1">IF(ROWS($1:20)&gt;COUNT(Dong14),"",IF(OFFSET(TH!L$1,SMALL(Dong14,ROWS($1:20)),)="331",OFFSET(TH!M$1,SMALL(Dong14,ROWS($1:20)),),OFFSET(TH!L$1,SMALL(Dong14,ROWS($1:20)),)))</f>
        <v>131</v>
      </c>
      <c r="F33" s="743">
        <f ca="1">IF(ROWS($1:20)&gt;COUNT(Dong14),"",IF(OFFSET(TH!L$1,SMALL(Dong14,ROWS($1:20)),)="131",OFFSET(TH!K$1,SMALL(Dong14,ROWS($1:20)),),0))</f>
        <v>2354130</v>
      </c>
      <c r="G33" s="743">
        <f ca="1">IF(ROWS($1:20)&gt;COUNT(Dong14),"",IF(OFFSET(TH!M$1,SMALL(Dong14,ROWS($1:20)),)="131",OFFSET(TH!K$1,SMALL(Dong14,ROWS($1:20)),),0))</f>
        <v>0</v>
      </c>
      <c r="H33" s="744">
        <f t="shared" ca="1" si="0"/>
        <v>9082435</v>
      </c>
      <c r="I33" s="744">
        <f t="shared" ca="1" si="1"/>
        <v>0</v>
      </c>
    </row>
    <row r="34" spans="1:9" s="3" customFormat="1" ht="18" customHeight="1">
      <c r="A34" s="740">
        <f ca="1">IF(ROWS($1:21)&gt;COUNT(Dong14),"",OFFSET(TH!C$1,SMALL(Dong14,ROWS($1:21)),))</f>
        <v>42647</v>
      </c>
      <c r="B34" s="740" t="str">
        <f ca="1">IF(ROWS($1:21)&gt;COUNT(Dong14),"",OFFSET(TH!D$1,SMALL(Dong14,ROWS($1:21)),))</f>
        <v>TP/X02</v>
      </c>
      <c r="C34" s="740">
        <f ca="1">IF(ROWS($1:21)&gt;COUNT(Dong14),"",OFFSET(TH!E$1,SMALL(Dong14,ROWS($1:21)),))</f>
        <v>42647</v>
      </c>
      <c r="D34" s="741" t="str">
        <f ca="1">IF(ROWS($1:21)&gt;COUNT(Dong14),"",OFFSET(TH!F$1,SMALL(Dong14,ROWS($1:21)),))</f>
        <v>VAT Thùng carton</v>
      </c>
      <c r="E34" s="742" t="str">
        <f ca="1">IF(ROWS($1:21)&gt;COUNT(Dong14),"",IF(OFFSET(TH!L$1,SMALL(Dong14,ROWS($1:21)),)="331",OFFSET(TH!M$1,SMALL(Dong14,ROWS($1:21)),),OFFSET(TH!L$1,SMALL(Dong14,ROWS($1:21)),)))</f>
        <v>131</v>
      </c>
      <c r="F34" s="743">
        <f ca="1">IF(ROWS($1:21)&gt;COUNT(Dong14),"",IF(OFFSET(TH!L$1,SMALL(Dong14,ROWS($1:21)),)="131",OFFSET(TH!K$1,SMALL(Dong14,ROWS($1:21)),),0))</f>
        <v>908243</v>
      </c>
      <c r="G34" s="743">
        <f ca="1">IF(ROWS($1:21)&gt;COUNT(Dong14),"",IF(OFFSET(TH!M$1,SMALL(Dong14,ROWS($1:21)),)="131",OFFSET(TH!K$1,SMALL(Dong14,ROWS($1:21)),),0))</f>
        <v>0</v>
      </c>
      <c r="H34" s="744">
        <f t="shared" ca="1" si="0"/>
        <v>9990678</v>
      </c>
      <c r="I34" s="744">
        <f t="shared" ca="1" si="1"/>
        <v>0</v>
      </c>
    </row>
    <row r="35" spans="1:9" s="3" customFormat="1" ht="18" customHeight="1">
      <c r="A35" s="740">
        <f ca="1">IF(ROWS($1:22)&gt;COUNT(Dong14),"",OFFSET(TH!C$1,SMALL(Dong14,ROWS($1:22)),))</f>
        <v>42647</v>
      </c>
      <c r="B35" s="740" t="str">
        <f ca="1">IF(ROWS($1:22)&gt;COUNT(Dong14),"",OFFSET(TH!D$1,SMALL(Dong14,ROWS($1:22)),))</f>
        <v>T02</v>
      </c>
      <c r="C35" s="740">
        <f ca="1">IF(ROWS($1:22)&gt;COUNT(Dong14),"",OFFSET(TH!E$1,SMALL(Dong14,ROWS($1:22)),))</f>
        <v>42647</v>
      </c>
      <c r="D35" s="741" t="str">
        <f ca="1">IF(ROWS($1:22)&gt;COUNT(Dong14),"",OFFSET(TH!F$1,SMALL(Dong14,ROWS($1:22)),))</f>
        <v>Thu tiền hàng</v>
      </c>
      <c r="E35" s="742" t="str">
        <f ca="1">IF(ROWS($1:22)&gt;COUNT(Dong14),"",IF(OFFSET(TH!L$1,SMALL(Dong14,ROWS($1:22)),)="331",OFFSET(TH!M$1,SMALL(Dong14,ROWS($1:22)),),OFFSET(TH!L$1,SMALL(Dong14,ROWS($1:22)),)))</f>
        <v>1111</v>
      </c>
      <c r="F35" s="743">
        <f ca="1">IF(ROWS($1:22)&gt;COUNT(Dong14),"",IF(OFFSET(TH!L$1,SMALL(Dong14,ROWS($1:22)),)="131",OFFSET(TH!K$1,SMALL(Dong14,ROWS($1:22)),),0))</f>
        <v>0</v>
      </c>
      <c r="G35" s="743">
        <f ca="1">IF(ROWS($1:22)&gt;COUNT(Dong14),"",IF(OFFSET(TH!M$1,SMALL(Dong14,ROWS($1:22)),)="131",OFFSET(TH!K$1,SMALL(Dong14,ROWS($1:22)),),0))</f>
        <v>9990678</v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>
        <f ca="1">IF(ROWS($1:23)&gt;COUNT(Dong14),"",OFFSET(TH!C$1,SMALL(Dong14,ROWS($1:23)),))</f>
        <v>42693</v>
      </c>
      <c r="B36" s="740" t="str">
        <f ca="1">IF(ROWS($1:23)&gt;COUNT(Dong14),"",OFFSET(TH!D$1,SMALL(Dong14,ROWS($1:23)),))</f>
        <v>TP/X16</v>
      </c>
      <c r="C36" s="740">
        <f ca="1">IF(ROWS($1:23)&gt;COUNT(Dong14),"",OFFSET(TH!E$1,SMALL(Dong14,ROWS($1:23)),))</f>
        <v>42693</v>
      </c>
      <c r="D36" s="741" t="str">
        <f ca="1">IF(ROWS($1:23)&gt;COUNT(Dong14),"",OFFSET(TH!F$1,SMALL(Dong14,ROWS($1:23)),))</f>
        <v>Thùng carton (47x47x52)</v>
      </c>
      <c r="E36" s="742" t="str">
        <f ca="1">IF(ROWS($1:23)&gt;COUNT(Dong14),"",IF(OFFSET(TH!L$1,SMALL(Dong14,ROWS($1:23)),)="331",OFFSET(TH!M$1,SMALL(Dong14,ROWS($1:23)),),OFFSET(TH!L$1,SMALL(Dong14,ROWS($1:23)),)))</f>
        <v>131</v>
      </c>
      <c r="F36" s="743">
        <f ca="1">IF(ROWS($1:23)&gt;COUNT(Dong14),"",IF(OFFSET(TH!L$1,SMALL(Dong14,ROWS($1:23)),)="131",OFFSET(TH!K$1,SMALL(Dong14,ROWS($1:23)),),0))</f>
        <v>369610</v>
      </c>
      <c r="G36" s="743">
        <f ca="1">IF(ROWS($1:23)&gt;COUNT(Dong14),"",IF(OFFSET(TH!M$1,SMALL(Dong14,ROWS($1:23)),)="131",OFFSET(TH!K$1,SMALL(Dong14,ROWS($1:23)),),0))</f>
        <v>0</v>
      </c>
      <c r="H36" s="744">
        <f t="shared" ca="1" si="0"/>
        <v>369610</v>
      </c>
      <c r="I36" s="744">
        <f t="shared" ca="1" si="1"/>
        <v>0</v>
      </c>
    </row>
    <row r="37" spans="1:9" s="3" customFormat="1" ht="18" customHeight="1">
      <c r="A37" s="740">
        <f ca="1">IF(ROWS($1:24)&gt;COUNT(Dong14),"",OFFSET(TH!C$1,SMALL(Dong14,ROWS($1:24)),))</f>
        <v>42693</v>
      </c>
      <c r="B37" s="740" t="str">
        <f ca="1">IF(ROWS($1:24)&gt;COUNT(Dong14),"",OFFSET(TH!D$1,SMALL(Dong14,ROWS($1:24)),))</f>
        <v>TP/X16</v>
      </c>
      <c r="C37" s="740">
        <f ca="1">IF(ROWS($1:24)&gt;COUNT(Dong14),"",OFFSET(TH!E$1,SMALL(Dong14,ROWS($1:24)),))</f>
        <v>42693</v>
      </c>
      <c r="D37" s="741" t="str">
        <f ca="1">IF(ROWS($1:24)&gt;COUNT(Dong14),"",OFFSET(TH!F$1,SMALL(Dong14,ROWS($1:24)),))</f>
        <v>Thùng carton (103x54x180)</v>
      </c>
      <c r="E37" s="742" t="str">
        <f ca="1">IF(ROWS($1:24)&gt;COUNT(Dong14),"",IF(OFFSET(TH!L$1,SMALL(Dong14,ROWS($1:24)),)="331",OFFSET(TH!M$1,SMALL(Dong14,ROWS($1:24)),),OFFSET(TH!L$1,SMALL(Dong14,ROWS($1:24)),)))</f>
        <v>131</v>
      </c>
      <c r="F37" s="743">
        <f ca="1">IF(ROWS($1:24)&gt;COUNT(Dong14),"",IF(OFFSET(TH!L$1,SMALL(Dong14,ROWS($1:24)),)="131",OFFSET(TH!K$1,SMALL(Dong14,ROWS($1:24)),),0))</f>
        <v>4742388</v>
      </c>
      <c r="G37" s="743">
        <f ca="1">IF(ROWS($1:24)&gt;COUNT(Dong14),"",IF(OFFSET(TH!M$1,SMALL(Dong14,ROWS($1:24)),)="131",OFFSET(TH!K$1,SMALL(Dong14,ROWS($1:24)),),0))</f>
        <v>0</v>
      </c>
      <c r="H37" s="744">
        <f t="shared" ca="1" si="0"/>
        <v>5111998</v>
      </c>
      <c r="I37" s="744">
        <f t="shared" ca="1" si="1"/>
        <v>0</v>
      </c>
    </row>
    <row r="38" spans="1:9" s="3" customFormat="1" ht="18" customHeight="1">
      <c r="A38" s="740">
        <f ca="1">IF(ROWS($1:25)&gt;COUNT(Dong14),"",OFFSET(TH!C$1,SMALL(Dong14,ROWS($1:25)),))</f>
        <v>42693</v>
      </c>
      <c r="B38" s="740" t="str">
        <f ca="1">IF(ROWS($1:25)&gt;COUNT(Dong14),"",OFFSET(TH!D$1,SMALL(Dong14,ROWS($1:25)),))</f>
        <v>TP/X16</v>
      </c>
      <c r="C38" s="740">
        <f ca="1">IF(ROWS($1:25)&gt;COUNT(Dong14),"",OFFSET(TH!E$1,SMALL(Dong14,ROWS($1:25)),))</f>
        <v>42693</v>
      </c>
      <c r="D38" s="741" t="str">
        <f ca="1">IF(ROWS($1:25)&gt;COUNT(Dong14),"",OFFSET(TH!F$1,SMALL(Dong14,ROWS($1:25)),))</f>
        <v>Thùng carton (58x57x95)</v>
      </c>
      <c r="E38" s="742" t="str">
        <f ca="1">IF(ROWS($1:25)&gt;COUNT(Dong14),"",IF(OFFSET(TH!L$1,SMALL(Dong14,ROWS($1:25)),)="331",OFFSET(TH!M$1,SMALL(Dong14,ROWS($1:25)),),OFFSET(TH!L$1,SMALL(Dong14,ROWS($1:25)),)))</f>
        <v>131</v>
      </c>
      <c r="F38" s="743">
        <f ca="1">IF(ROWS($1:25)&gt;COUNT(Dong14),"",IF(OFFSET(TH!L$1,SMALL(Dong14,ROWS($1:25)),)="131",OFFSET(TH!K$1,SMALL(Dong14,ROWS($1:25)),),0))</f>
        <v>808758</v>
      </c>
      <c r="G38" s="743">
        <f ca="1">IF(ROWS($1:25)&gt;COUNT(Dong14),"",IF(OFFSET(TH!M$1,SMALL(Dong14,ROWS($1:25)),)="131",OFFSET(TH!K$1,SMALL(Dong14,ROWS($1:25)),),0))</f>
        <v>0</v>
      </c>
      <c r="H38" s="744">
        <f t="shared" ca="1" si="0"/>
        <v>5920756</v>
      </c>
      <c r="I38" s="744">
        <f t="shared" ca="1" si="1"/>
        <v>0</v>
      </c>
    </row>
    <row r="39" spans="1:9" s="3" customFormat="1" ht="18" customHeight="1">
      <c r="A39" s="740">
        <f ca="1">IF(ROWS($1:26)&gt;COUNT(Dong14),"",OFFSET(TH!C$1,SMALL(Dong14,ROWS($1:26)),))</f>
        <v>42693</v>
      </c>
      <c r="B39" s="740" t="str">
        <f ca="1">IF(ROWS($1:26)&gt;COUNT(Dong14),"",OFFSET(TH!D$1,SMALL(Dong14,ROWS($1:26)),))</f>
        <v>TP/X16</v>
      </c>
      <c r="C39" s="740">
        <f ca="1">IF(ROWS($1:26)&gt;COUNT(Dong14),"",OFFSET(TH!E$1,SMALL(Dong14,ROWS($1:26)),))</f>
        <v>42693</v>
      </c>
      <c r="D39" s="741" t="str">
        <f ca="1">IF(ROWS($1:26)&gt;COUNT(Dong14),"",OFFSET(TH!F$1,SMALL(Dong14,ROWS($1:26)),))</f>
        <v>Thùng carton (58x57x81)</v>
      </c>
      <c r="E39" s="742" t="str">
        <f ca="1">IF(ROWS($1:26)&gt;COUNT(Dong14),"",IF(OFFSET(TH!L$1,SMALL(Dong14,ROWS($1:26)),)="331",OFFSET(TH!M$1,SMALL(Dong14,ROWS($1:26)),),OFFSET(TH!L$1,SMALL(Dong14,ROWS($1:26)),)))</f>
        <v>131</v>
      </c>
      <c r="F39" s="743">
        <f ca="1">IF(ROWS($1:26)&gt;COUNT(Dong14),"",IF(OFFSET(TH!L$1,SMALL(Dong14,ROWS($1:26)),)="131",OFFSET(TH!K$1,SMALL(Dong14,ROWS($1:26)),),0))</f>
        <v>754002</v>
      </c>
      <c r="G39" s="743">
        <f ca="1">IF(ROWS($1:26)&gt;COUNT(Dong14),"",IF(OFFSET(TH!M$1,SMALL(Dong14,ROWS($1:26)),)="131",OFFSET(TH!K$1,SMALL(Dong14,ROWS($1:26)),),0))</f>
        <v>0</v>
      </c>
      <c r="H39" s="744">
        <f t="shared" ca="1" si="0"/>
        <v>6674758</v>
      </c>
      <c r="I39" s="744">
        <f t="shared" ca="1" si="1"/>
        <v>0</v>
      </c>
    </row>
    <row r="40" spans="1:9" s="3" customFormat="1" ht="18" customHeight="1">
      <c r="A40" s="740">
        <f ca="1">IF(ROWS($1:27)&gt;COUNT(Dong14),"",OFFSET(TH!C$1,SMALL(Dong14,ROWS($1:27)),))</f>
        <v>42693</v>
      </c>
      <c r="B40" s="740" t="str">
        <f ca="1">IF(ROWS($1:27)&gt;COUNT(Dong14),"",OFFSET(TH!D$1,SMALL(Dong14,ROWS($1:27)),))</f>
        <v>TP/X16</v>
      </c>
      <c r="C40" s="740">
        <f ca="1">IF(ROWS($1:27)&gt;COUNT(Dong14),"",OFFSET(TH!E$1,SMALL(Dong14,ROWS($1:27)),))</f>
        <v>42693</v>
      </c>
      <c r="D40" s="741" t="str">
        <f ca="1">IF(ROWS($1:27)&gt;COUNT(Dong14),"",OFFSET(TH!F$1,SMALL(Dong14,ROWS($1:27)),))</f>
        <v>Thùng carton (67x62x114)</v>
      </c>
      <c r="E40" s="742" t="str">
        <f ca="1">IF(ROWS($1:27)&gt;COUNT(Dong14),"",IF(OFFSET(TH!L$1,SMALL(Dong14,ROWS($1:27)),)="331",OFFSET(TH!M$1,SMALL(Dong14,ROWS($1:27)),),OFFSET(TH!L$1,SMALL(Dong14,ROWS($1:27)),)))</f>
        <v>131</v>
      </c>
      <c r="F40" s="743">
        <f ca="1">IF(ROWS($1:27)&gt;COUNT(Dong14),"",IF(OFFSET(TH!L$1,SMALL(Dong14,ROWS($1:27)),)="131",OFFSET(TH!K$1,SMALL(Dong14,ROWS($1:27)),),0))</f>
        <v>1097980</v>
      </c>
      <c r="G40" s="743">
        <f ca="1">IF(ROWS($1:27)&gt;COUNT(Dong14),"",IF(OFFSET(TH!M$1,SMALL(Dong14,ROWS($1:27)),)="131",OFFSET(TH!K$1,SMALL(Dong14,ROWS($1:27)),),0))</f>
        <v>0</v>
      </c>
      <c r="H40" s="744">
        <f t="shared" ca="1" si="0"/>
        <v>7772738</v>
      </c>
      <c r="I40" s="744">
        <f t="shared" ca="1" si="1"/>
        <v>0</v>
      </c>
    </row>
    <row r="41" spans="1:9" s="3" customFormat="1" ht="18" customHeight="1">
      <c r="A41" s="740">
        <f ca="1">IF(ROWS($1:28)&gt;COUNT(Dong14),"",OFFSET(TH!C$1,SMALL(Dong14,ROWS($1:28)),))</f>
        <v>42693</v>
      </c>
      <c r="B41" s="740" t="str">
        <f ca="1">IF(ROWS($1:28)&gt;COUNT(Dong14),"",OFFSET(TH!D$1,SMALL(Dong14,ROWS($1:28)),))</f>
        <v>TP/X16</v>
      </c>
      <c r="C41" s="740">
        <f ca="1">IF(ROWS($1:28)&gt;COUNT(Dong14),"",OFFSET(TH!E$1,SMALL(Dong14,ROWS($1:28)),))</f>
        <v>42693</v>
      </c>
      <c r="D41" s="741" t="str">
        <f ca="1">IF(ROWS($1:28)&gt;COUNT(Dong14),"",OFFSET(TH!F$1,SMALL(Dong14,ROWS($1:28)),))</f>
        <v>Thùng carton (58x57x62)</v>
      </c>
      <c r="E41" s="742" t="str">
        <f ca="1">IF(ROWS($1:28)&gt;COUNT(Dong14),"",IF(OFFSET(TH!L$1,SMALL(Dong14,ROWS($1:28)),)="331",OFFSET(TH!M$1,SMALL(Dong14,ROWS($1:28)),),OFFSET(TH!L$1,SMALL(Dong14,ROWS($1:28)),)))</f>
        <v>131</v>
      </c>
      <c r="F41" s="743">
        <f ca="1">IF(ROWS($1:28)&gt;COUNT(Dong14),"",IF(OFFSET(TH!L$1,SMALL(Dong14,ROWS($1:28)),)="131",OFFSET(TH!K$1,SMALL(Dong14,ROWS($1:28)),),0))</f>
        <v>458619</v>
      </c>
      <c r="G41" s="743">
        <f ca="1">IF(ROWS($1:28)&gt;COUNT(Dong14),"",IF(OFFSET(TH!M$1,SMALL(Dong14,ROWS($1:28)),)="131",OFFSET(TH!K$1,SMALL(Dong14,ROWS($1:28)),),0))</f>
        <v>0</v>
      </c>
      <c r="H41" s="744">
        <f t="shared" ca="1" si="0"/>
        <v>8231357</v>
      </c>
      <c r="I41" s="744">
        <f t="shared" ca="1" si="1"/>
        <v>0</v>
      </c>
    </row>
    <row r="42" spans="1:9" s="3" customFormat="1" ht="18" customHeight="1">
      <c r="A42" s="740">
        <f ca="1">IF(ROWS($1:29)&gt;COUNT(Dong14),"",OFFSET(TH!C$1,SMALL(Dong14,ROWS($1:29)),))</f>
        <v>42693</v>
      </c>
      <c r="B42" s="740" t="str">
        <f ca="1">IF(ROWS($1:29)&gt;COUNT(Dong14),"",OFFSET(TH!D$1,SMALL(Dong14,ROWS($1:29)),))</f>
        <v>TP/X16</v>
      </c>
      <c r="C42" s="740">
        <f ca="1">IF(ROWS($1:29)&gt;COUNT(Dong14),"",OFFSET(TH!E$1,SMALL(Dong14,ROWS($1:29)),))</f>
        <v>42693</v>
      </c>
      <c r="D42" s="741" t="str">
        <f ca="1">IF(ROWS($1:29)&gt;COUNT(Dong14),"",OFFSET(TH!F$1,SMALL(Dong14,ROWS($1:29)),))</f>
        <v>VAT Thùng carton</v>
      </c>
      <c r="E42" s="742" t="str">
        <f ca="1">IF(ROWS($1:29)&gt;COUNT(Dong14),"",IF(OFFSET(TH!L$1,SMALL(Dong14,ROWS($1:29)),)="331",OFFSET(TH!M$1,SMALL(Dong14,ROWS($1:29)),),OFFSET(TH!L$1,SMALL(Dong14,ROWS($1:29)),)))</f>
        <v>131</v>
      </c>
      <c r="F42" s="743">
        <f ca="1">IF(ROWS($1:29)&gt;COUNT(Dong14),"",IF(OFFSET(TH!L$1,SMALL(Dong14,ROWS($1:29)),)="131",OFFSET(TH!K$1,SMALL(Dong14,ROWS($1:29)),),0))</f>
        <v>823136</v>
      </c>
      <c r="G42" s="743">
        <f ca="1">IF(ROWS($1:29)&gt;COUNT(Dong14),"",IF(OFFSET(TH!M$1,SMALL(Dong14,ROWS($1:29)),)="131",OFFSET(TH!K$1,SMALL(Dong14,ROWS($1:29)),),0))</f>
        <v>0</v>
      </c>
      <c r="H42" s="744">
        <f t="shared" ca="1" si="0"/>
        <v>9054493</v>
      </c>
      <c r="I42" s="744">
        <f t="shared" ca="1" si="1"/>
        <v>0</v>
      </c>
    </row>
    <row r="43" spans="1:9" s="3" customFormat="1" ht="18" customHeight="1">
      <c r="A43" s="740">
        <f ca="1">IF(ROWS($1:30)&gt;COUNT(Dong14),"",OFFSET(TH!C$1,SMALL(Dong14,ROWS($1:30)),))</f>
        <v>42693</v>
      </c>
      <c r="B43" s="740" t="str">
        <f ca="1">IF(ROWS($1:30)&gt;COUNT(Dong14),"",OFFSET(TH!D$1,SMALL(Dong14,ROWS($1:30)),))</f>
        <v>T14</v>
      </c>
      <c r="C43" s="740">
        <f ca="1">IF(ROWS($1:30)&gt;COUNT(Dong14),"",OFFSET(TH!E$1,SMALL(Dong14,ROWS($1:30)),))</f>
        <v>42693</v>
      </c>
      <c r="D43" s="741" t="str">
        <f ca="1">IF(ROWS($1:30)&gt;COUNT(Dong14),"",OFFSET(TH!F$1,SMALL(Dong14,ROWS($1:30)),))</f>
        <v>Thu tiền hàng</v>
      </c>
      <c r="E43" s="742" t="str">
        <f ca="1">IF(ROWS($1:30)&gt;COUNT(Dong14),"",IF(OFFSET(TH!L$1,SMALL(Dong14,ROWS($1:30)),)="331",OFFSET(TH!M$1,SMALL(Dong14,ROWS($1:30)),),OFFSET(TH!L$1,SMALL(Dong14,ROWS($1:30)),)))</f>
        <v>1111</v>
      </c>
      <c r="F43" s="743">
        <f ca="1">IF(ROWS($1:30)&gt;COUNT(Dong14),"",IF(OFFSET(TH!L$1,SMALL(Dong14,ROWS($1:30)),)="131",OFFSET(TH!K$1,SMALL(Dong14,ROWS($1:30)),),0))</f>
        <v>0</v>
      </c>
      <c r="G43" s="743">
        <f ca="1">IF(ROWS($1:30)&gt;COUNT(Dong14),"",IF(OFFSET(TH!M$1,SMALL(Dong14,ROWS($1:30)),)="131",OFFSET(TH!K$1,SMALL(Dong14,ROWS($1:30)),),0))</f>
        <v>9054493</v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>
        <f ca="1">IF(ROWS($1:31)&gt;COUNT(Dong14),"",OFFSET(TH!C$1,SMALL(Dong14,ROWS($1:31)),))</f>
        <v>42703</v>
      </c>
      <c r="B44" s="740" t="str">
        <f ca="1">IF(ROWS($1:31)&gt;COUNT(Dong14),"",OFFSET(TH!D$1,SMALL(Dong14,ROWS($1:31)),))</f>
        <v>TP/X22</v>
      </c>
      <c r="C44" s="740">
        <f ca="1">IF(ROWS($1:31)&gt;COUNT(Dong14),"",OFFSET(TH!E$1,SMALL(Dong14,ROWS($1:31)),))</f>
        <v>42703</v>
      </c>
      <c r="D44" s="741" t="str">
        <f ca="1">IF(ROWS($1:31)&gt;COUNT(Dong14),"",OFFSET(TH!F$1,SMALL(Dong14,ROWS($1:31)),))</f>
        <v>Thùng carton (123x63x186)</v>
      </c>
      <c r="E44" s="742" t="str">
        <f ca="1">IF(ROWS($1:31)&gt;COUNT(Dong14),"",IF(OFFSET(TH!L$1,SMALL(Dong14,ROWS($1:31)),)="331",OFFSET(TH!M$1,SMALL(Dong14,ROWS($1:31)),),OFFSET(TH!L$1,SMALL(Dong14,ROWS($1:31)),)))</f>
        <v>131</v>
      </c>
      <c r="F44" s="743">
        <f ca="1">IF(ROWS($1:31)&gt;COUNT(Dong14),"",IF(OFFSET(TH!L$1,SMALL(Dong14,ROWS($1:31)),)="131",OFFSET(TH!K$1,SMALL(Dong14,ROWS($1:31)),),0))</f>
        <v>1400000</v>
      </c>
      <c r="G44" s="743">
        <f ca="1">IF(ROWS($1:31)&gt;COUNT(Dong14),"",IF(OFFSET(TH!M$1,SMALL(Dong14,ROWS($1:31)),)="131",OFFSET(TH!K$1,SMALL(Dong14,ROWS($1:31)),),0))</f>
        <v>0</v>
      </c>
      <c r="H44" s="744">
        <f t="shared" ca="1" si="0"/>
        <v>1400000</v>
      </c>
      <c r="I44" s="744">
        <f t="shared" ca="1" si="1"/>
        <v>0</v>
      </c>
    </row>
    <row r="45" spans="1:9" s="3" customFormat="1" ht="18" customHeight="1">
      <c r="A45" s="740">
        <f ca="1">IF(ROWS($1:32)&gt;COUNT(Dong14),"",OFFSET(TH!C$1,SMALL(Dong14,ROWS($1:32)),))</f>
        <v>42703</v>
      </c>
      <c r="B45" s="740" t="str">
        <f ca="1">IF(ROWS($1:32)&gt;COUNT(Dong14),"",OFFSET(TH!D$1,SMALL(Dong14,ROWS($1:32)),))</f>
        <v>TP/X22</v>
      </c>
      <c r="C45" s="740">
        <f ca="1">IF(ROWS($1:32)&gt;COUNT(Dong14),"",OFFSET(TH!E$1,SMALL(Dong14,ROWS($1:32)),))</f>
        <v>42703</v>
      </c>
      <c r="D45" s="741" t="str">
        <f ca="1">IF(ROWS($1:32)&gt;COUNT(Dong14),"",OFFSET(TH!F$1,SMALL(Dong14,ROWS($1:32)),))</f>
        <v>Thùng carton (123x63x138)</v>
      </c>
      <c r="E45" s="742" t="str">
        <f ca="1">IF(ROWS($1:32)&gt;COUNT(Dong14),"",IF(OFFSET(TH!L$1,SMALL(Dong14,ROWS($1:32)),)="331",OFFSET(TH!M$1,SMALL(Dong14,ROWS($1:32)),),OFFSET(TH!L$1,SMALL(Dong14,ROWS($1:32)),)))</f>
        <v>131</v>
      </c>
      <c r="F45" s="743">
        <f ca="1">IF(ROWS($1:32)&gt;COUNT(Dong14),"",IF(OFFSET(TH!L$1,SMALL(Dong14,ROWS($1:32)),)="131",OFFSET(TH!K$1,SMALL(Dong14,ROWS($1:32)),),0))</f>
        <v>265000</v>
      </c>
      <c r="G45" s="743">
        <f ca="1">IF(ROWS($1:32)&gt;COUNT(Dong14),"",IF(OFFSET(TH!M$1,SMALL(Dong14,ROWS($1:32)),)="131",OFFSET(TH!K$1,SMALL(Dong14,ROWS($1:32)),),0))</f>
        <v>0</v>
      </c>
      <c r="H45" s="744">
        <f t="shared" ca="1" si="0"/>
        <v>1665000</v>
      </c>
      <c r="I45" s="744">
        <f t="shared" ca="1" si="1"/>
        <v>0</v>
      </c>
    </row>
    <row r="46" spans="1:9" s="3" customFormat="1" ht="18" customHeight="1">
      <c r="A46" s="740">
        <f ca="1">IF(ROWS($1:33)&gt;COUNT(Dong14),"",OFFSET(TH!C$1,SMALL(Dong14,ROWS($1:33)),))</f>
        <v>42703</v>
      </c>
      <c r="B46" s="740" t="str">
        <f ca="1">IF(ROWS($1:33)&gt;COUNT(Dong14),"",OFFSET(TH!D$1,SMALL(Dong14,ROWS($1:33)),))</f>
        <v>TP/X22</v>
      </c>
      <c r="C46" s="740">
        <f ca="1">IF(ROWS($1:33)&gt;COUNT(Dong14),"",OFFSET(TH!E$1,SMALL(Dong14,ROWS($1:33)),))</f>
        <v>42703</v>
      </c>
      <c r="D46" s="741" t="str">
        <f ca="1">IF(ROWS($1:33)&gt;COUNT(Dong14),"",OFFSET(TH!F$1,SMALL(Dong14,ROWS($1:33)),))</f>
        <v>Thùng carton (142x72x58)</v>
      </c>
      <c r="E46" s="742" t="str">
        <f ca="1">IF(ROWS($1:33)&gt;COUNT(Dong14),"",IF(OFFSET(TH!L$1,SMALL(Dong14,ROWS($1:33)),)="331",OFFSET(TH!M$1,SMALL(Dong14,ROWS($1:33)),),OFFSET(TH!L$1,SMALL(Dong14,ROWS($1:33)),)))</f>
        <v>131</v>
      </c>
      <c r="F46" s="743">
        <f ca="1">IF(ROWS($1:33)&gt;COUNT(Dong14),"",IF(OFFSET(TH!L$1,SMALL(Dong14,ROWS($1:33)),)="131",OFFSET(TH!K$1,SMALL(Dong14,ROWS($1:33)),),0))</f>
        <v>3023700</v>
      </c>
      <c r="G46" s="743">
        <f ca="1">IF(ROWS($1:33)&gt;COUNT(Dong14),"",IF(OFFSET(TH!M$1,SMALL(Dong14,ROWS($1:33)),)="131",OFFSET(TH!K$1,SMALL(Dong14,ROWS($1:33)),),0))</f>
        <v>0</v>
      </c>
      <c r="H46" s="744">
        <f t="shared" ca="1" si="0"/>
        <v>4688700</v>
      </c>
      <c r="I46" s="744">
        <f t="shared" ca="1" si="1"/>
        <v>0</v>
      </c>
    </row>
    <row r="47" spans="1:9" s="3" customFormat="1" ht="18" customHeight="1">
      <c r="A47" s="740">
        <f ca="1">IF(ROWS($1:34)&gt;COUNT(Dong14),"",OFFSET(TH!C$1,SMALL(Dong14,ROWS($1:34)),))</f>
        <v>42703</v>
      </c>
      <c r="B47" s="740" t="str">
        <f ca="1">IF(ROWS($1:34)&gt;COUNT(Dong14),"",OFFSET(TH!D$1,SMALL(Dong14,ROWS($1:34)),))</f>
        <v>TP/X22</v>
      </c>
      <c r="C47" s="740">
        <f ca="1">IF(ROWS($1:34)&gt;COUNT(Dong14),"",OFFSET(TH!E$1,SMALL(Dong14,ROWS($1:34)),))</f>
        <v>42703</v>
      </c>
      <c r="D47" s="741" t="str">
        <f ca="1">IF(ROWS($1:34)&gt;COUNT(Dong14),"",OFFSET(TH!F$1,SMALL(Dong14,ROWS($1:34)),))</f>
        <v>Thùng carton (162x64x178)</v>
      </c>
      <c r="E47" s="742" t="str">
        <f ca="1">IF(ROWS($1:34)&gt;COUNT(Dong14),"",IF(OFFSET(TH!L$1,SMALL(Dong14,ROWS($1:34)),)="331",OFFSET(TH!M$1,SMALL(Dong14,ROWS($1:34)),),OFFSET(TH!L$1,SMALL(Dong14,ROWS($1:34)),)))</f>
        <v>131</v>
      </c>
      <c r="F47" s="743">
        <f ca="1">IF(ROWS($1:34)&gt;COUNT(Dong14),"",IF(OFFSET(TH!L$1,SMALL(Dong14,ROWS($1:34)),)="131",OFFSET(TH!K$1,SMALL(Dong14,ROWS($1:34)),),0))</f>
        <v>910800</v>
      </c>
      <c r="G47" s="743">
        <f ca="1">IF(ROWS($1:34)&gt;COUNT(Dong14),"",IF(OFFSET(TH!M$1,SMALL(Dong14,ROWS($1:34)),)="131",OFFSET(TH!K$1,SMALL(Dong14,ROWS($1:34)),),0))</f>
        <v>0</v>
      </c>
      <c r="H47" s="744">
        <f t="shared" ca="1" si="0"/>
        <v>5599500</v>
      </c>
      <c r="I47" s="744">
        <f t="shared" ca="1" si="1"/>
        <v>0</v>
      </c>
    </row>
    <row r="48" spans="1:9" s="3" customFormat="1" ht="18" customHeight="1">
      <c r="A48" s="740">
        <f ca="1">IF(ROWS($1:35)&gt;COUNT(Dong14),"",OFFSET(TH!C$1,SMALL(Dong14,ROWS($1:35)),))</f>
        <v>42703</v>
      </c>
      <c r="B48" s="740" t="str">
        <f ca="1">IF(ROWS($1:35)&gt;COUNT(Dong14),"",OFFSET(TH!D$1,SMALL(Dong14,ROWS($1:35)),))</f>
        <v>TP/X22</v>
      </c>
      <c r="C48" s="740">
        <f ca="1">IF(ROWS($1:35)&gt;COUNT(Dong14),"",OFFSET(TH!E$1,SMALL(Dong14,ROWS($1:35)),))</f>
        <v>42703</v>
      </c>
      <c r="D48" s="741" t="str">
        <f ca="1">IF(ROWS($1:35)&gt;COUNT(Dong14),"",OFFSET(TH!F$1,SMALL(Dong14,ROWS($1:35)),))</f>
        <v>VAT Thùng carton</v>
      </c>
      <c r="E48" s="742" t="str">
        <f ca="1">IF(ROWS($1:35)&gt;COUNT(Dong14),"",IF(OFFSET(TH!L$1,SMALL(Dong14,ROWS($1:35)),)="331",OFFSET(TH!M$1,SMALL(Dong14,ROWS($1:35)),),OFFSET(TH!L$1,SMALL(Dong14,ROWS($1:35)),)))</f>
        <v>131</v>
      </c>
      <c r="F48" s="743">
        <f ca="1">IF(ROWS($1:35)&gt;COUNT(Dong14),"",IF(OFFSET(TH!L$1,SMALL(Dong14,ROWS($1:35)),)="131",OFFSET(TH!K$1,SMALL(Dong14,ROWS($1:35)),),0))</f>
        <v>559950</v>
      </c>
      <c r="G48" s="743">
        <f ca="1">IF(ROWS($1:35)&gt;COUNT(Dong14),"",IF(OFFSET(TH!M$1,SMALL(Dong14,ROWS($1:35)),)="131",OFFSET(TH!K$1,SMALL(Dong14,ROWS($1:35)),),0))</f>
        <v>0</v>
      </c>
      <c r="H48" s="744">
        <f t="shared" ca="1" si="0"/>
        <v>6159450</v>
      </c>
      <c r="I48" s="744">
        <f t="shared" ca="1" si="1"/>
        <v>0</v>
      </c>
    </row>
    <row r="49" spans="1:9" s="3" customFormat="1" ht="18" customHeight="1">
      <c r="A49" s="740">
        <f ca="1">IF(ROWS($1:36)&gt;COUNT(Dong14),"",OFFSET(TH!C$1,SMALL(Dong14,ROWS($1:36)),))</f>
        <v>42703</v>
      </c>
      <c r="B49" s="740" t="str">
        <f ca="1">IF(ROWS($1:36)&gt;COUNT(Dong14),"",OFFSET(TH!D$1,SMALL(Dong14,ROWS($1:36)),))</f>
        <v>T20</v>
      </c>
      <c r="C49" s="740">
        <f ca="1">IF(ROWS($1:36)&gt;COUNT(Dong14),"",OFFSET(TH!E$1,SMALL(Dong14,ROWS($1:36)),))</f>
        <v>42703</v>
      </c>
      <c r="D49" s="741" t="str">
        <f ca="1">IF(ROWS($1:36)&gt;COUNT(Dong14),"",OFFSET(TH!F$1,SMALL(Dong14,ROWS($1:36)),))</f>
        <v>Thu tiền hàng</v>
      </c>
      <c r="E49" s="742" t="str">
        <f ca="1">IF(ROWS($1:36)&gt;COUNT(Dong14),"",IF(OFFSET(TH!L$1,SMALL(Dong14,ROWS($1:36)),)="331",OFFSET(TH!M$1,SMALL(Dong14,ROWS($1:36)),),OFFSET(TH!L$1,SMALL(Dong14,ROWS($1:36)),)))</f>
        <v>1111</v>
      </c>
      <c r="F49" s="743">
        <f ca="1">IF(ROWS($1:36)&gt;COUNT(Dong14),"",IF(OFFSET(TH!L$1,SMALL(Dong14,ROWS($1:36)),)="131",OFFSET(TH!K$1,SMALL(Dong14,ROWS($1:36)),),0))</f>
        <v>0</v>
      </c>
      <c r="G49" s="743">
        <f ca="1">IF(ROWS($1:36)&gt;COUNT(Dong14),"",IF(OFFSET(TH!M$1,SMALL(Dong14,ROWS($1:36)),)="131",OFFSET(TH!K$1,SMALL(Dong14,ROWS($1:36)),),0))</f>
        <v>6159450</v>
      </c>
      <c r="H49" s="744">
        <f t="shared" ca="1" si="0"/>
        <v>0</v>
      </c>
      <c r="I49" s="744">
        <f t="shared" ca="1" si="1"/>
        <v>0</v>
      </c>
    </row>
    <row r="50" spans="1:9" s="3" customFormat="1" ht="18" customHeight="1">
      <c r="A50" s="740">
        <f ca="1">IF(ROWS($1:37)&gt;COUNT(Dong14),"",OFFSET(TH!C$1,SMALL(Dong14,ROWS($1:37)),))</f>
        <v>42717</v>
      </c>
      <c r="B50" s="740" t="str">
        <f ca="1">IF(ROWS($1:37)&gt;COUNT(Dong14),"",OFFSET(TH!D$1,SMALL(Dong14,ROWS($1:37)),))</f>
        <v>TP/X37</v>
      </c>
      <c r="C50" s="740">
        <f ca="1">IF(ROWS($1:37)&gt;COUNT(Dong14),"",OFFSET(TH!E$1,SMALL(Dong14,ROWS($1:37)),))</f>
        <v>42717</v>
      </c>
      <c r="D50" s="741" t="str">
        <f ca="1">IF(ROWS($1:37)&gt;COUNT(Dong14),"",OFFSET(TH!F$1,SMALL(Dong14,ROWS($1:37)),))</f>
        <v>Thùng carton (103x50x180)</v>
      </c>
      <c r="E50" s="742" t="str">
        <f ca="1">IF(ROWS($1:37)&gt;COUNT(Dong14),"",IF(OFFSET(TH!L$1,SMALL(Dong14,ROWS($1:37)),)="331",OFFSET(TH!M$1,SMALL(Dong14,ROWS($1:37)),),OFFSET(TH!L$1,SMALL(Dong14,ROWS($1:37)),)))</f>
        <v>131</v>
      </c>
      <c r="F50" s="743">
        <f ca="1">IF(ROWS($1:37)&gt;COUNT(Dong14),"",IF(OFFSET(TH!L$1,SMALL(Dong14,ROWS($1:37)),)="131",OFFSET(TH!K$1,SMALL(Dong14,ROWS($1:37)),),0))</f>
        <v>2846940</v>
      </c>
      <c r="G50" s="743">
        <f ca="1">IF(ROWS($1:37)&gt;COUNT(Dong14),"",IF(OFFSET(TH!M$1,SMALL(Dong14,ROWS($1:37)),)="131",OFFSET(TH!K$1,SMALL(Dong14,ROWS($1:37)),),0))</f>
        <v>0</v>
      </c>
      <c r="H50" s="744">
        <f t="shared" ca="1" si="0"/>
        <v>2846940</v>
      </c>
      <c r="I50" s="744">
        <f t="shared" ca="1" si="1"/>
        <v>0</v>
      </c>
    </row>
    <row r="51" spans="1:9" s="3" customFormat="1" ht="18" customHeight="1">
      <c r="A51" s="740">
        <f ca="1">IF(ROWS($1:38)&gt;COUNT(Dong14),"",OFFSET(TH!C$1,SMALL(Dong14,ROWS($1:38)),))</f>
        <v>42717</v>
      </c>
      <c r="B51" s="740" t="str">
        <f ca="1">IF(ROWS($1:38)&gt;COUNT(Dong14),"",OFFSET(TH!D$1,SMALL(Dong14,ROWS($1:38)),))</f>
        <v>TP/X37</v>
      </c>
      <c r="C51" s="740">
        <f ca="1">IF(ROWS($1:38)&gt;COUNT(Dong14),"",OFFSET(TH!E$1,SMALL(Dong14,ROWS($1:38)),))</f>
        <v>42717</v>
      </c>
      <c r="D51" s="741" t="str">
        <f ca="1">IF(ROWS($1:38)&gt;COUNT(Dong14),"",OFFSET(TH!F$1,SMALL(Dong14,ROWS($1:38)),))</f>
        <v>Thùng carton (122x54x180)</v>
      </c>
      <c r="E51" s="742" t="str">
        <f ca="1">IF(ROWS($1:38)&gt;COUNT(Dong14),"",IF(OFFSET(TH!L$1,SMALL(Dong14,ROWS($1:38)),)="331",OFFSET(TH!M$1,SMALL(Dong14,ROWS($1:38)),),OFFSET(TH!L$1,SMALL(Dong14,ROWS($1:38)),)))</f>
        <v>131</v>
      </c>
      <c r="F51" s="743">
        <f ca="1">IF(ROWS($1:38)&gt;COUNT(Dong14),"",IF(OFFSET(TH!L$1,SMALL(Dong14,ROWS($1:38)),)="131",OFFSET(TH!K$1,SMALL(Dong14,ROWS($1:38)),),0))</f>
        <v>1199660</v>
      </c>
      <c r="G51" s="743">
        <f ca="1">IF(ROWS($1:38)&gt;COUNT(Dong14),"",IF(OFFSET(TH!M$1,SMALL(Dong14,ROWS($1:38)),)="131",OFFSET(TH!K$1,SMALL(Dong14,ROWS($1:38)),),0))</f>
        <v>0</v>
      </c>
      <c r="H51" s="744">
        <f t="shared" ca="1" si="0"/>
        <v>4046600</v>
      </c>
      <c r="I51" s="744">
        <f t="shared" ca="1" si="1"/>
        <v>0</v>
      </c>
    </row>
    <row r="52" spans="1:9" s="3" customFormat="1" ht="18" customHeight="1">
      <c r="A52" s="740">
        <f ca="1">IF(ROWS($1:39)&gt;COUNT(Dong14),"",OFFSET(TH!C$1,SMALL(Dong14,ROWS($1:39)),))</f>
        <v>42717</v>
      </c>
      <c r="B52" s="740" t="str">
        <f ca="1">IF(ROWS($1:39)&gt;COUNT(Dong14),"",OFFSET(TH!D$1,SMALL(Dong14,ROWS($1:39)),))</f>
        <v>TP/X37</v>
      </c>
      <c r="C52" s="740">
        <f ca="1">IF(ROWS($1:39)&gt;COUNT(Dong14),"",OFFSET(TH!E$1,SMALL(Dong14,ROWS($1:39)),))</f>
        <v>42717</v>
      </c>
      <c r="D52" s="741" t="str">
        <f ca="1">IF(ROWS($1:39)&gt;COUNT(Dong14),"",OFFSET(TH!F$1,SMALL(Dong14,ROWS($1:39)),))</f>
        <v>VAT Thùng carton</v>
      </c>
      <c r="E52" s="742" t="str">
        <f ca="1">IF(ROWS($1:39)&gt;COUNT(Dong14),"",IF(OFFSET(TH!L$1,SMALL(Dong14,ROWS($1:39)),)="331",OFFSET(TH!M$1,SMALL(Dong14,ROWS($1:39)),),OFFSET(TH!L$1,SMALL(Dong14,ROWS($1:39)),)))</f>
        <v>131</v>
      </c>
      <c r="F52" s="743">
        <f ca="1">IF(ROWS($1:39)&gt;COUNT(Dong14),"",IF(OFFSET(TH!L$1,SMALL(Dong14,ROWS($1:39)),)="131",OFFSET(TH!K$1,SMALL(Dong14,ROWS($1:39)),),0))</f>
        <v>404660</v>
      </c>
      <c r="G52" s="743">
        <f ca="1">IF(ROWS($1:39)&gt;COUNT(Dong14),"",IF(OFFSET(TH!M$1,SMALL(Dong14,ROWS($1:39)),)="131",OFFSET(TH!K$1,SMALL(Dong14,ROWS($1:39)),),0))</f>
        <v>0</v>
      </c>
      <c r="H52" s="744">
        <f t="shared" ca="1" si="0"/>
        <v>4451260</v>
      </c>
      <c r="I52" s="744">
        <f t="shared" ca="1" si="1"/>
        <v>0</v>
      </c>
    </row>
    <row r="53" spans="1:9" s="3" customFormat="1" ht="18" customHeight="1">
      <c r="A53" s="740">
        <f ca="1">IF(ROWS($1:40)&gt;COUNT(Dong14),"",OFFSET(TH!C$1,SMALL(Dong14,ROWS($1:40)),))</f>
        <v>42717</v>
      </c>
      <c r="B53" s="740" t="str">
        <f ca="1">IF(ROWS($1:40)&gt;COUNT(Dong14),"",OFFSET(TH!D$1,SMALL(Dong14,ROWS($1:40)),))</f>
        <v>T32</v>
      </c>
      <c r="C53" s="740">
        <f ca="1">IF(ROWS($1:40)&gt;COUNT(Dong14),"",OFFSET(TH!E$1,SMALL(Dong14,ROWS($1:40)),))</f>
        <v>42717</v>
      </c>
      <c r="D53" s="741" t="str">
        <f ca="1">IF(ROWS($1:40)&gt;COUNT(Dong14),"",OFFSET(TH!F$1,SMALL(Dong14,ROWS($1:40)),))</f>
        <v>Thu tiền hàng</v>
      </c>
      <c r="E53" s="742" t="str">
        <f ca="1">IF(ROWS($1:40)&gt;COUNT(Dong14),"",IF(OFFSET(TH!L$1,SMALL(Dong14,ROWS($1:40)),)="331",OFFSET(TH!M$1,SMALL(Dong14,ROWS($1:40)),),OFFSET(TH!L$1,SMALL(Dong14,ROWS($1:40)),)))</f>
        <v>1111</v>
      </c>
      <c r="F53" s="743">
        <f ca="1">IF(ROWS($1:40)&gt;COUNT(Dong14),"",IF(OFFSET(TH!L$1,SMALL(Dong14,ROWS($1:40)),)="131",OFFSET(TH!K$1,SMALL(Dong14,ROWS($1:40)),),0))</f>
        <v>0</v>
      </c>
      <c r="G53" s="743">
        <f ca="1">IF(ROWS($1:40)&gt;COUNT(Dong14),"",IF(OFFSET(TH!M$1,SMALL(Dong14,ROWS($1:40)),)="131",OFFSET(TH!K$1,SMALL(Dong14,ROWS($1:40)),),0))</f>
        <v>4451260</v>
      </c>
      <c r="H53" s="744">
        <f t="shared" ca="1" si="0"/>
        <v>0</v>
      </c>
      <c r="I53" s="744">
        <f t="shared" ca="1" si="1"/>
        <v>0</v>
      </c>
    </row>
    <row r="54" spans="1:9" s="3" customFormat="1" ht="18" customHeight="1">
      <c r="A54" s="740">
        <f ca="1">IF(ROWS($1:41)&gt;COUNT(Dong14),"",OFFSET(TH!C$1,SMALL(Dong14,ROWS($1:41)),))</f>
        <v>42726</v>
      </c>
      <c r="B54" s="740" t="str">
        <f ca="1">IF(ROWS($1:41)&gt;COUNT(Dong14),"",OFFSET(TH!D$1,SMALL(Dong14,ROWS($1:41)),))</f>
        <v>TP/X57</v>
      </c>
      <c r="C54" s="740">
        <f ca="1">IF(ROWS($1:41)&gt;COUNT(Dong14),"",OFFSET(TH!E$1,SMALL(Dong14,ROWS($1:41)),))</f>
        <v>42726</v>
      </c>
      <c r="D54" s="741" t="str">
        <f ca="1">IF(ROWS($1:41)&gt;COUNT(Dong14),"",OFFSET(TH!F$1,SMALL(Dong14,ROWS($1:41)),))</f>
        <v>Thùng carton (103x50x180)</v>
      </c>
      <c r="E54" s="742" t="str">
        <f ca="1">IF(ROWS($1:41)&gt;COUNT(Dong14),"",IF(OFFSET(TH!L$1,SMALL(Dong14,ROWS($1:41)),)="331",OFFSET(TH!M$1,SMALL(Dong14,ROWS($1:41)),),OFFSET(TH!L$1,SMALL(Dong14,ROWS($1:41)),)))</f>
        <v>131</v>
      </c>
      <c r="F54" s="743">
        <f ca="1">IF(ROWS($1:41)&gt;COUNT(Dong14),"",IF(OFFSET(TH!L$1,SMALL(Dong14,ROWS($1:41)),)="131",OFFSET(TH!K$1,SMALL(Dong14,ROWS($1:41)),),0))</f>
        <v>13665312</v>
      </c>
      <c r="G54" s="743">
        <f ca="1">IF(ROWS($1:41)&gt;COUNT(Dong14),"",IF(OFFSET(TH!M$1,SMALL(Dong14,ROWS($1:41)),)="131",OFFSET(TH!K$1,SMALL(Dong14,ROWS($1:41)),),0))</f>
        <v>0</v>
      </c>
      <c r="H54" s="744">
        <f t="shared" ca="1" si="0"/>
        <v>13665312</v>
      </c>
      <c r="I54" s="744">
        <f t="shared" ca="1" si="1"/>
        <v>0</v>
      </c>
    </row>
    <row r="55" spans="1:9" s="3" customFormat="1" ht="18" customHeight="1">
      <c r="A55" s="740">
        <f ca="1">IF(ROWS($1:42)&gt;COUNT(Dong14),"",OFFSET(TH!C$1,SMALL(Dong14,ROWS($1:42)),))</f>
        <v>42726</v>
      </c>
      <c r="B55" s="740" t="str">
        <f ca="1">IF(ROWS($1:42)&gt;COUNT(Dong14),"",OFFSET(TH!D$1,SMALL(Dong14,ROWS($1:42)),))</f>
        <v>TP/X57</v>
      </c>
      <c r="C55" s="740">
        <f ca="1">IF(ROWS($1:42)&gt;COUNT(Dong14),"",OFFSET(TH!E$1,SMALL(Dong14,ROWS($1:42)),))</f>
        <v>42726</v>
      </c>
      <c r="D55" s="741" t="str">
        <f ca="1">IF(ROWS($1:42)&gt;COUNT(Dong14),"",OFFSET(TH!F$1,SMALL(Dong14,ROWS($1:42)),))</f>
        <v>Thùng carton (76x54x140)</v>
      </c>
      <c r="E55" s="742" t="str">
        <f ca="1">IF(ROWS($1:42)&gt;COUNT(Dong14),"",IF(OFFSET(TH!L$1,SMALL(Dong14,ROWS($1:42)),)="331",OFFSET(TH!M$1,SMALL(Dong14,ROWS($1:42)),),OFFSET(TH!L$1,SMALL(Dong14,ROWS($1:42)),)))</f>
        <v>131</v>
      </c>
      <c r="F55" s="743">
        <f ca="1">IF(ROWS($1:42)&gt;COUNT(Dong14),"",IF(OFFSET(TH!L$1,SMALL(Dong14,ROWS($1:42)),)="131",OFFSET(TH!K$1,SMALL(Dong14,ROWS($1:42)),),0))</f>
        <v>840000</v>
      </c>
      <c r="G55" s="743">
        <f ca="1">IF(ROWS($1:42)&gt;COUNT(Dong14),"",IF(OFFSET(TH!M$1,SMALL(Dong14,ROWS($1:42)),)="131",OFFSET(TH!K$1,SMALL(Dong14,ROWS($1:42)),),0))</f>
        <v>0</v>
      </c>
      <c r="H55" s="744">
        <f t="shared" ca="1" si="0"/>
        <v>14505312</v>
      </c>
      <c r="I55" s="744">
        <f t="shared" ca="1" si="1"/>
        <v>0</v>
      </c>
    </row>
    <row r="56" spans="1:9" s="3" customFormat="1" ht="18" customHeight="1">
      <c r="A56" s="740">
        <f ca="1">IF(ROWS($1:43)&gt;COUNT(Dong14),"",OFFSET(TH!C$1,SMALL(Dong14,ROWS($1:43)),))</f>
        <v>42726</v>
      </c>
      <c r="B56" s="740" t="str">
        <f ca="1">IF(ROWS($1:43)&gt;COUNT(Dong14),"",OFFSET(TH!D$1,SMALL(Dong14,ROWS($1:43)),))</f>
        <v>TP/X57</v>
      </c>
      <c r="C56" s="740">
        <f ca="1">IF(ROWS($1:43)&gt;COUNT(Dong14),"",OFFSET(TH!E$1,SMALL(Dong14,ROWS($1:43)),))</f>
        <v>42726</v>
      </c>
      <c r="D56" s="741" t="str">
        <f ca="1">IF(ROWS($1:43)&gt;COUNT(Dong14),"",OFFSET(TH!F$1,SMALL(Dong14,ROWS($1:43)),))</f>
        <v>VAT Thùng carton</v>
      </c>
      <c r="E56" s="742" t="str">
        <f ca="1">IF(ROWS($1:43)&gt;COUNT(Dong14),"",IF(OFFSET(TH!L$1,SMALL(Dong14,ROWS($1:43)),)="331",OFFSET(TH!M$1,SMALL(Dong14,ROWS($1:43)),),OFFSET(TH!L$1,SMALL(Dong14,ROWS($1:43)),)))</f>
        <v>131</v>
      </c>
      <c r="F56" s="743">
        <f ca="1">IF(ROWS($1:43)&gt;COUNT(Dong14),"",IF(OFFSET(TH!L$1,SMALL(Dong14,ROWS($1:43)),)="131",OFFSET(TH!K$1,SMALL(Dong14,ROWS($1:43)),),0))</f>
        <v>1450531</v>
      </c>
      <c r="G56" s="743">
        <f ca="1">IF(ROWS($1:43)&gt;COUNT(Dong14),"",IF(OFFSET(TH!M$1,SMALL(Dong14,ROWS($1:43)),)="131",OFFSET(TH!K$1,SMALL(Dong14,ROWS($1:43)),),0))</f>
        <v>0</v>
      </c>
      <c r="H56" s="744">
        <f t="shared" ca="1" si="0"/>
        <v>15955843</v>
      </c>
      <c r="I56" s="744">
        <f t="shared" ca="1" si="1"/>
        <v>0</v>
      </c>
    </row>
    <row r="57" spans="1:9" s="3" customFormat="1" ht="18" customHeight="1">
      <c r="A57" s="740" t="str">
        <f ca="1">IF(ROWS($1:44)&gt;COUNT(Dong14),"",OFFSET(TH!C$1,SMALL(Dong14,ROWS($1:44)),))</f>
        <v/>
      </c>
      <c r="B57" s="740" t="str">
        <f ca="1">IF(ROWS($1:44)&gt;COUNT(Dong14),"",OFFSET(TH!D$1,SMALL(Dong14,ROWS($1:44)),))</f>
        <v/>
      </c>
      <c r="C57" s="740" t="str">
        <f ca="1">IF(ROWS($1:44)&gt;COUNT(Dong14),"",OFFSET(TH!E$1,SMALL(Dong14,ROWS($1:44)),))</f>
        <v/>
      </c>
      <c r="D57" s="741" t="str">
        <f ca="1">IF(ROWS($1:44)&gt;COUNT(Dong14),"",OFFSET(TH!F$1,SMALL(Dong14,ROWS($1:44)),))</f>
        <v/>
      </c>
      <c r="E57" s="742" t="str">
        <f ca="1">IF(ROWS($1:44)&gt;COUNT(Dong14),"",IF(OFFSET(TH!L$1,SMALL(Dong14,ROWS($1:44)),)="331",OFFSET(TH!M$1,SMALL(Dong14,ROWS($1:44)),),OFFSET(TH!L$1,SMALL(Dong14,ROWS($1:44)),)))</f>
        <v/>
      </c>
      <c r="F57" s="743" t="str">
        <f ca="1">IF(ROWS($1:44)&gt;COUNT(Dong14),"",IF(OFFSET(TH!L$1,SMALL(Dong14,ROWS($1:44)),)="131",OFFSET(TH!K$1,SMALL(Dong14,ROWS($1:44)),),0))</f>
        <v/>
      </c>
      <c r="G57" s="743" t="str">
        <f ca="1">IF(ROWS($1:44)&gt;COUNT(Dong14),"",IF(OFFSET(TH!M$1,SMALL(Dong14,ROWS($1:44)),)="131",OFFSET(TH!K$1,SMALL(Dong14,ROWS($1:44)),),0))</f>
        <v/>
      </c>
      <c r="H57" s="744">
        <f t="shared" ca="1" si="0"/>
        <v>0</v>
      </c>
      <c r="I57" s="744">
        <f t="shared" ca="1" si="1"/>
        <v>0</v>
      </c>
    </row>
    <row r="58" spans="1:9" s="3" customFormat="1" ht="18" customHeight="1">
      <c r="A58" s="740" t="str">
        <f ca="1">IF(ROWS($1:45)&gt;COUNT(Dong14),"",OFFSET(TH!C$1,SMALL(Dong14,ROWS($1:45)),))</f>
        <v/>
      </c>
      <c r="B58" s="740" t="str">
        <f ca="1">IF(ROWS($1:45)&gt;COUNT(Dong14),"",OFFSET(TH!D$1,SMALL(Dong14,ROWS($1:45)),))</f>
        <v/>
      </c>
      <c r="C58" s="740" t="str">
        <f ca="1">IF(ROWS($1:45)&gt;COUNT(Dong14),"",OFFSET(TH!E$1,SMALL(Dong14,ROWS($1:45)),))</f>
        <v/>
      </c>
      <c r="D58" s="741" t="str">
        <f ca="1">IF(ROWS($1:45)&gt;COUNT(Dong14),"",OFFSET(TH!F$1,SMALL(Dong14,ROWS($1:45)),))</f>
        <v/>
      </c>
      <c r="E58" s="742" t="str">
        <f ca="1">IF(ROWS($1:45)&gt;COUNT(Dong14),"",IF(OFFSET(TH!L$1,SMALL(Dong14,ROWS($1:45)),)="331",OFFSET(TH!M$1,SMALL(Dong14,ROWS($1:45)),),OFFSET(TH!L$1,SMALL(Dong14,ROWS($1:45)),)))</f>
        <v/>
      </c>
      <c r="F58" s="743" t="str">
        <f ca="1">IF(ROWS($1:45)&gt;COUNT(Dong14),"",IF(OFFSET(TH!L$1,SMALL(Dong14,ROWS($1:45)),)="131",OFFSET(TH!K$1,SMALL(Dong14,ROWS($1:45)),),0))</f>
        <v/>
      </c>
      <c r="G58" s="743" t="str">
        <f ca="1">IF(ROWS($1:45)&gt;COUNT(Dong14),"",IF(OFFSET(TH!M$1,SMALL(Dong14,ROWS($1:45)),)="131",OFFSET(TH!K$1,SMALL(Dong14,ROWS($1:45)),),0))</f>
        <v/>
      </c>
      <c r="H58" s="744">
        <f t="shared" ca="1" si="0"/>
        <v>0</v>
      </c>
      <c r="I58" s="744">
        <f t="shared" ca="1" si="1"/>
        <v>0</v>
      </c>
    </row>
    <row r="59" spans="1:9" s="3" customFormat="1" ht="18" customHeight="1">
      <c r="A59" s="740" t="str">
        <f ca="1">IF(ROWS($1:46)&gt;COUNT(Dong14),"",OFFSET(TH!C$1,SMALL(Dong14,ROWS($1:46)),))</f>
        <v/>
      </c>
      <c r="B59" s="740" t="str">
        <f ca="1">IF(ROWS($1:46)&gt;COUNT(Dong14),"",OFFSET(TH!D$1,SMALL(Dong14,ROWS($1:46)),))</f>
        <v/>
      </c>
      <c r="C59" s="740" t="str">
        <f ca="1">IF(ROWS($1:46)&gt;COUNT(Dong14),"",OFFSET(TH!E$1,SMALL(Dong14,ROWS($1:46)),))</f>
        <v/>
      </c>
      <c r="D59" s="741" t="str">
        <f ca="1">IF(ROWS($1:46)&gt;COUNT(Dong14),"",OFFSET(TH!F$1,SMALL(Dong14,ROWS($1:46)),))</f>
        <v/>
      </c>
      <c r="E59" s="742" t="str">
        <f ca="1">IF(ROWS($1:46)&gt;COUNT(Dong14),"",IF(OFFSET(TH!L$1,SMALL(Dong14,ROWS($1:46)),)="331",OFFSET(TH!M$1,SMALL(Dong14,ROWS($1:46)),),OFFSET(TH!L$1,SMALL(Dong14,ROWS($1:46)),)))</f>
        <v/>
      </c>
      <c r="F59" s="743" t="str">
        <f ca="1">IF(ROWS($1:46)&gt;COUNT(Dong14),"",IF(OFFSET(TH!L$1,SMALL(Dong14,ROWS($1:46)),)="131",OFFSET(TH!K$1,SMALL(Dong14,ROWS($1:46)),),0))</f>
        <v/>
      </c>
      <c r="G59" s="743" t="str">
        <f ca="1">IF(ROWS($1:46)&gt;COUNT(Dong14),"",IF(OFFSET(TH!M$1,SMALL(Dong14,ROWS($1:46)),)="131",OFFSET(TH!K$1,SMALL(Dong14,ROWS($1:46)),),0))</f>
        <v/>
      </c>
      <c r="H59" s="744">
        <f t="shared" ca="1" si="0"/>
        <v>0</v>
      </c>
      <c r="I59" s="744">
        <f t="shared" ca="1" si="1"/>
        <v>0</v>
      </c>
    </row>
    <row r="60" spans="1:9" s="3" customFormat="1" ht="18" customHeight="1">
      <c r="A60" s="740" t="str">
        <f ca="1">IF(ROWS($1:47)&gt;COUNT(Dong14),"",OFFSET(TH!C$1,SMALL(Dong14,ROWS($1:47)),))</f>
        <v/>
      </c>
      <c r="B60" s="740" t="str">
        <f ca="1">IF(ROWS($1:47)&gt;COUNT(Dong14),"",OFFSET(TH!D$1,SMALL(Dong14,ROWS($1:47)),))</f>
        <v/>
      </c>
      <c r="C60" s="740" t="str">
        <f ca="1">IF(ROWS($1:47)&gt;COUNT(Dong14),"",OFFSET(TH!E$1,SMALL(Dong14,ROWS($1:47)),))</f>
        <v/>
      </c>
      <c r="D60" s="741" t="str">
        <f ca="1">IF(ROWS($1:47)&gt;COUNT(Dong14),"",OFFSET(TH!F$1,SMALL(Dong14,ROWS($1:47)),))</f>
        <v/>
      </c>
      <c r="E60" s="742" t="str">
        <f ca="1">IF(ROWS($1:47)&gt;COUNT(Dong14),"",IF(OFFSET(TH!L$1,SMALL(Dong14,ROWS($1:47)),)="331",OFFSET(TH!M$1,SMALL(Dong14,ROWS($1:47)),),OFFSET(TH!L$1,SMALL(Dong14,ROWS($1:47)),)))</f>
        <v/>
      </c>
      <c r="F60" s="743" t="str">
        <f ca="1">IF(ROWS($1:47)&gt;COUNT(Dong14),"",IF(OFFSET(TH!L$1,SMALL(Dong14,ROWS($1:47)),)="131",OFFSET(TH!K$1,SMALL(Dong14,ROWS($1:47)),),0))</f>
        <v/>
      </c>
      <c r="G60" s="743" t="str">
        <f ca="1">IF(ROWS($1:47)&gt;COUNT(Dong14),"",IF(OFFSET(TH!M$1,SMALL(Dong14,ROWS($1:47)),)="131",OFFSET(TH!K$1,SMALL(Dong14,ROWS($1:47)),),0))</f>
        <v/>
      </c>
      <c r="H60" s="744">
        <f t="shared" ca="1" si="0"/>
        <v>0</v>
      </c>
      <c r="I60" s="744">
        <f t="shared" ca="1" si="1"/>
        <v>0</v>
      </c>
    </row>
    <row r="61" spans="1:9" s="3" customFormat="1" ht="18" customHeight="1">
      <c r="A61" s="740"/>
      <c r="B61" s="740"/>
      <c r="C61" s="740"/>
      <c r="D61" s="741"/>
      <c r="E61" s="742"/>
      <c r="F61" s="743"/>
      <c r="G61" s="743"/>
      <c r="H61" s="744"/>
      <c r="I61" s="744"/>
    </row>
    <row r="62" spans="1:9" s="3" customFormat="1" ht="18" customHeight="1">
      <c r="A62" s="739"/>
      <c r="B62" s="657"/>
      <c r="C62" s="745"/>
      <c r="D62" s="738" t="s">
        <v>32</v>
      </c>
      <c r="E62" s="657" t="s">
        <v>19</v>
      </c>
      <c r="F62" s="746">
        <f ca="1">SUM(F14:F61)</f>
        <v>81035035</v>
      </c>
      <c r="G62" s="746">
        <f ca="1">SUM(G14:G61)</f>
        <v>65079192</v>
      </c>
      <c r="H62" s="746" t="s">
        <v>19</v>
      </c>
      <c r="I62" s="746" t="s">
        <v>19</v>
      </c>
    </row>
    <row r="63" spans="1:9" s="3" customFormat="1" ht="18" customHeight="1">
      <c r="A63" s="739"/>
      <c r="B63" s="657"/>
      <c r="C63" s="657"/>
      <c r="D63" s="738" t="s">
        <v>10</v>
      </c>
      <c r="E63" s="657" t="s">
        <v>19</v>
      </c>
      <c r="F63" s="746" t="s">
        <v>19</v>
      </c>
      <c r="G63" s="746" t="s">
        <v>19</v>
      </c>
      <c r="H63" s="746">
        <f ca="1">MAX(H13+F62-G62-I13,0)</f>
        <v>15955843</v>
      </c>
      <c r="I63" s="746">
        <f ca="1">MAX(I13+G62-F62-H13,0)</f>
        <v>0</v>
      </c>
    </row>
    <row r="64" spans="1:9" s="3" customFormat="1" ht="6" customHeight="1">
      <c r="B64" s="641"/>
      <c r="C64" s="641"/>
      <c r="E64" s="641"/>
    </row>
    <row r="65" spans="1:9" s="3" customFormat="1" ht="14.25" customHeight="1">
      <c r="A65" s="747" t="s">
        <v>146</v>
      </c>
      <c r="B65" s="641"/>
      <c r="C65" s="641"/>
      <c r="E65" s="641"/>
    </row>
    <row r="66" spans="1:9" s="3" customFormat="1" ht="14.25" customHeight="1">
      <c r="A66" s="747" t="str">
        <f ca="1">"- Ngày mở sổ: "&amp;DAY($A$14)&amp;"/"&amp;MONTH($A$14)&amp;"/ " &amp;YEAR($A$14)</f>
        <v>- Ngày mở sổ: 15/7/ 2016</v>
      </c>
      <c r="B66" s="641"/>
      <c r="C66" s="641"/>
      <c r="E66" s="641"/>
    </row>
    <row r="67" spans="1:9" s="3" customFormat="1" ht="14.25" customHeight="1">
      <c r="B67" s="641"/>
      <c r="C67" s="641"/>
      <c r="E67" s="836" t="str">
        <f ca="1">"Ngày 31 tháng  12  năm  "&amp;YEAR($A$14)</f>
        <v>Ngày 31 tháng  12  năm  2016</v>
      </c>
      <c r="F67" s="836"/>
      <c r="G67" s="836"/>
      <c r="H67" s="836"/>
      <c r="I67" s="836"/>
    </row>
    <row r="68" spans="1:9" s="3" customFormat="1" ht="14.25" customHeight="1">
      <c r="C68" s="641" t="s">
        <v>11</v>
      </c>
      <c r="E68" s="836" t="s">
        <v>12</v>
      </c>
      <c r="F68" s="836"/>
      <c r="G68" s="836"/>
      <c r="H68" s="836"/>
      <c r="I68" s="836"/>
    </row>
    <row r="69" spans="1:9" s="3" customFormat="1" ht="14.25" customHeight="1">
      <c r="C69" s="641" t="s">
        <v>13</v>
      </c>
      <c r="E69" s="836" t="s">
        <v>13</v>
      </c>
      <c r="F69" s="836"/>
      <c r="G69" s="836"/>
      <c r="H69" s="836"/>
      <c r="I69" s="836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6.5"/>
  <cols>
    <col min="1" max="1" width="4.7109375" style="720" customWidth="1"/>
    <col min="2" max="2" width="43.42578125" style="720" customWidth="1"/>
    <col min="3" max="4" width="9" style="720" customWidth="1"/>
    <col min="5" max="6" width="16.42578125" style="720" customWidth="1"/>
    <col min="7" max="7" width="9.28515625" style="720" customWidth="1"/>
    <col min="8" max="8" width="16.42578125" style="720" customWidth="1"/>
    <col min="9" max="16384" width="8" style="720"/>
  </cols>
  <sheetData>
    <row r="1" spans="1:9">
      <c r="A1" s="380" t="str">
        <f>TH!$A$1</f>
        <v>Đơn vị: CÔNG TY TNHH BAO BÌ GIẤY KIM DUNG PHÁT</v>
      </c>
    </row>
    <row r="2" spans="1:9">
      <c r="A2" s="407" t="str">
        <f>TH!$A$2</f>
        <v>Địa chỉ: Ấp Rừng Sến, xã Mỹ Hạnh Bắc, Huyện Đức Hòa, Tỉnh Long An, Việt Nam</v>
      </c>
    </row>
    <row r="3" spans="1:9" ht="27" customHeight="1">
      <c r="A3" s="870" t="s">
        <v>98</v>
      </c>
      <c r="B3" s="870"/>
      <c r="C3" s="870"/>
      <c r="D3" s="870"/>
      <c r="E3" s="870"/>
      <c r="F3" s="870"/>
      <c r="G3" s="870"/>
      <c r="H3" s="870"/>
    </row>
    <row r="4" spans="1:9" s="721" customFormat="1" ht="23.25" customHeight="1">
      <c r="A4" s="871" t="s">
        <v>34</v>
      </c>
      <c r="B4" s="873" t="s">
        <v>35</v>
      </c>
      <c r="C4" s="875" t="s">
        <v>36</v>
      </c>
      <c r="D4" s="876"/>
      <c r="E4" s="875" t="s">
        <v>37</v>
      </c>
      <c r="F4" s="876"/>
      <c r="G4" s="875" t="s">
        <v>40</v>
      </c>
      <c r="H4" s="876"/>
    </row>
    <row r="5" spans="1:9" s="721" customFormat="1" ht="23.25" customHeight="1">
      <c r="A5" s="872"/>
      <c r="B5" s="874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9" s="721" customFormat="1" ht="23.25" customHeight="1">
      <c r="A6" s="723">
        <f>IF(B6&lt;&gt;"",ROW()-5,"")</f>
        <v>1</v>
      </c>
      <c r="B6" s="724" t="s">
        <v>396</v>
      </c>
      <c r="C6" s="725"/>
      <c r="D6" s="725"/>
      <c r="E6" s="725">
        <f t="array" ref="E6">SUM(IF("331"&amp;B6=KHN&amp;KH,TH))</f>
        <v>95500000</v>
      </c>
      <c r="F6" s="725">
        <f t="array" ref="F6">SUM(IF("331"&amp;B6=KHC&amp;KH,TH))</f>
        <v>377864740</v>
      </c>
      <c r="G6" s="726">
        <f t="shared" ref="G6:G10" si="0">ROUND(MAX(C6+E6-D6-F6,0),2)</f>
        <v>0</v>
      </c>
      <c r="H6" s="726">
        <f t="shared" ref="H6:H10" si="1">ROUND(MAX(D6+F6-C6-E6,0),2)</f>
        <v>282364740</v>
      </c>
      <c r="I6" s="721" t="str">
        <f>IF(ISNA(VLOOKUP(B6,[2]!DSKH,1,0)),"","x")</f>
        <v/>
      </c>
    </row>
    <row r="7" spans="1:9" s="721" customFormat="1" ht="23.25" customHeight="1">
      <c r="A7" s="723">
        <f t="shared" ref="A7:A13" si="2">IF(B7&lt;&gt;"",ROW()-5,"")</f>
        <v>2</v>
      </c>
      <c r="B7" s="724" t="s">
        <v>397</v>
      </c>
      <c r="C7" s="725"/>
      <c r="D7" s="725"/>
      <c r="E7" s="725">
        <f t="array" ref="E7">SUM(IF("331"&amp;B7=KHN&amp;KH,TH))</f>
        <v>341000000</v>
      </c>
      <c r="F7" s="725">
        <f t="array" ref="F7">SUM(IF("331"&amp;B7=KHC&amp;KH,TH))</f>
        <v>674384700</v>
      </c>
      <c r="G7" s="726">
        <f t="shared" si="0"/>
        <v>0</v>
      </c>
      <c r="H7" s="726">
        <f t="shared" si="1"/>
        <v>333384700</v>
      </c>
      <c r="I7" s="721" t="str">
        <f>IF(ISNA(VLOOKUP(B7,[2]!DSKH,1,0)),"","x")</f>
        <v/>
      </c>
    </row>
    <row r="8" spans="1:9" s="721" customFormat="1" ht="23.25" customHeight="1">
      <c r="A8" s="723">
        <f>IF(B8&lt;&gt;"",ROW()-5,"")</f>
        <v>3</v>
      </c>
      <c r="B8" s="728" t="s">
        <v>879</v>
      </c>
      <c r="C8" s="725"/>
      <c r="D8" s="725"/>
      <c r="E8" s="725">
        <f t="array" ref="E8">SUM(IF("331"&amp;B8=KHN&amp;KH,TH))</f>
        <v>0</v>
      </c>
      <c r="F8" s="725">
        <f t="array" ref="F8">SUM(IF("331"&amp;B8=KHC&amp;KH,TH))</f>
        <v>514668000</v>
      </c>
      <c r="G8" s="726">
        <f>ROUND(MAX(C8+E8-D8-F8,0),2)</f>
        <v>0</v>
      </c>
      <c r="H8" s="726">
        <f>ROUND(MAX(D8+F8-C8-E8,0),2)</f>
        <v>514668000</v>
      </c>
    </row>
    <row r="9" spans="1:9" s="721" customFormat="1" ht="23.25" customHeight="1">
      <c r="A9" s="723">
        <f t="shared" si="2"/>
        <v>4</v>
      </c>
      <c r="B9" s="728" t="s">
        <v>440</v>
      </c>
      <c r="C9" s="725"/>
      <c r="D9" s="725"/>
      <c r="E9" s="725">
        <f t="array" ref="E9">SUM(IF("331"&amp;B9=KHN&amp;KH,TH))</f>
        <v>103992460</v>
      </c>
      <c r="F9" s="725">
        <f t="array" ref="F9">SUM(IF("331"&amp;B9=KHC&amp;KH,TH))</f>
        <v>103992460</v>
      </c>
      <c r="G9" s="726">
        <f t="shared" si="0"/>
        <v>0</v>
      </c>
      <c r="H9" s="726">
        <f t="shared" si="1"/>
        <v>0</v>
      </c>
      <c r="I9" s="721" t="str">
        <f>IF(ISNA(VLOOKUP(B9,[2]!DSKH,1,0)),"","x")</f>
        <v/>
      </c>
    </row>
    <row r="10" spans="1:9" s="721" customFormat="1" ht="23.25" customHeight="1">
      <c r="A10" s="723">
        <f t="shared" si="2"/>
        <v>5</v>
      </c>
      <c r="B10" s="728" t="s">
        <v>622</v>
      </c>
      <c r="C10" s="725"/>
      <c r="D10" s="725"/>
      <c r="E10" s="725">
        <f t="array" ref="E10">SUM(IF("331"&amp;B10=KHN&amp;KH,TH))</f>
        <v>244200000</v>
      </c>
      <c r="F10" s="725">
        <f t="array" ref="F10">SUM(IF("331"&amp;B10=KHC&amp;KH,TH))</f>
        <v>244200000</v>
      </c>
      <c r="G10" s="726">
        <f t="shared" si="0"/>
        <v>0</v>
      </c>
      <c r="H10" s="726">
        <f t="shared" si="1"/>
        <v>0</v>
      </c>
      <c r="I10" s="721" t="str">
        <f>IF(ISNA(VLOOKUP(B10,[2]!DSKH,1,0)),"","x")</f>
        <v/>
      </c>
    </row>
    <row r="11" spans="1:9" s="721" customFormat="1" ht="23.25" customHeight="1">
      <c r="A11" s="723">
        <f t="shared" si="2"/>
        <v>6</v>
      </c>
      <c r="B11" s="728" t="s">
        <v>778</v>
      </c>
      <c r="C11" s="725"/>
      <c r="D11" s="725"/>
      <c r="E11" s="725">
        <f t="array" ref="E11">SUM(IF("331"&amp;B11=KHN&amp;KH,TH))</f>
        <v>103583150</v>
      </c>
      <c r="F11" s="725">
        <f t="array" ref="F11">SUM(IF("331"&amp;B11=KHC&amp;KH,TH))</f>
        <v>103583150</v>
      </c>
      <c r="G11" s="726">
        <f t="shared" ref="G11:G13" si="3">ROUND(MAX(C11+E11-D11-F11,0),2)</f>
        <v>0</v>
      </c>
      <c r="H11" s="726">
        <f t="shared" ref="H11:H13" si="4">ROUND(MAX(D11+F11-C11-E11,0),2)</f>
        <v>0</v>
      </c>
    </row>
    <row r="12" spans="1:9" s="721" customFormat="1" ht="23.25" customHeight="1">
      <c r="A12" s="723">
        <f t="shared" si="2"/>
        <v>7</v>
      </c>
      <c r="B12" s="728" t="s">
        <v>986</v>
      </c>
      <c r="C12" s="725"/>
      <c r="D12" s="725"/>
      <c r="E12" s="725">
        <f t="array" ref="E12">SUM(IF("331"&amp;B12=KHN&amp;KH,TH))</f>
        <v>0</v>
      </c>
      <c r="F12" s="725">
        <f t="array" ref="F12">SUM(IF("331"&amp;B12=KHC&amp;KH,TH))</f>
        <v>924000000</v>
      </c>
      <c r="G12" s="726">
        <f t="shared" si="3"/>
        <v>0</v>
      </c>
      <c r="H12" s="726">
        <f t="shared" si="4"/>
        <v>924000000</v>
      </c>
    </row>
    <row r="13" spans="1:9" s="721" customFormat="1" ht="23.25" customHeight="1">
      <c r="A13" s="723">
        <f t="shared" si="2"/>
        <v>8</v>
      </c>
      <c r="B13" s="728" t="s">
        <v>861</v>
      </c>
      <c r="C13" s="725"/>
      <c r="D13" s="725"/>
      <c r="E13" s="725">
        <f t="array" ref="E13">SUM(IF("331"&amp;B13=KHN&amp;KH,TH))</f>
        <v>63530500</v>
      </c>
      <c r="F13" s="725">
        <f t="array" ref="F13">SUM(IF("331"&amp;B13=KHC&amp;KH,TH))</f>
        <v>63530500</v>
      </c>
      <c r="G13" s="726">
        <f t="shared" si="3"/>
        <v>0</v>
      </c>
      <c r="H13" s="726">
        <f t="shared" si="4"/>
        <v>0</v>
      </c>
    </row>
    <row r="14" spans="1:9" s="721" customFormat="1" ht="23.25" customHeight="1">
      <c r="A14" s="723">
        <f t="shared" ref="A14" si="5">IF(B14&lt;&gt;"",ROW()-5,"")</f>
        <v>9</v>
      </c>
      <c r="B14" s="728" t="s">
        <v>1075</v>
      </c>
      <c r="C14" s="725"/>
      <c r="D14" s="725"/>
      <c r="E14" s="725">
        <f t="array" ref="E14">SUM(IF("331"&amp;B14=KHN&amp;KH,TH))</f>
        <v>50000000</v>
      </c>
      <c r="F14" s="725">
        <f t="array" ref="F14">SUM(IF("331"&amp;B14=KHC&amp;KH,TH))</f>
        <v>139236240</v>
      </c>
      <c r="G14" s="726">
        <f t="shared" ref="G14" si="6">ROUND(MAX(C14+E14-D14-F14,0),2)</f>
        <v>0</v>
      </c>
      <c r="H14" s="726">
        <f t="shared" ref="H14" si="7">ROUND(MAX(D14+F14-C14-E14,0),2)</f>
        <v>89236240</v>
      </c>
    </row>
    <row r="15" spans="1:9" s="721" customFormat="1" ht="23.25" customHeight="1">
      <c r="A15" s="723" t="str">
        <f>IF(B15&lt;&gt;"",ROW()-3,"")</f>
        <v/>
      </c>
      <c r="B15" s="730"/>
      <c r="C15" s="725"/>
      <c r="D15" s="725"/>
      <c r="E15" s="749"/>
      <c r="F15" s="749"/>
      <c r="G15" s="750"/>
      <c r="H15" s="750"/>
      <c r="I15" s="721" t="str">
        <f>IF(ISNA(VLOOKUP(B15,[2]!DSKH,1,0)),"","x")</f>
        <v/>
      </c>
    </row>
    <row r="16" spans="1:9" s="734" customFormat="1" ht="23.25" customHeight="1">
      <c r="A16" s="731"/>
      <c r="B16" s="732" t="s">
        <v>38</v>
      </c>
      <c r="C16" s="733">
        <f t="shared" ref="C16:H16" si="8">SUM(C6:C15)</f>
        <v>0</v>
      </c>
      <c r="D16" s="733">
        <f t="shared" si="8"/>
        <v>0</v>
      </c>
      <c r="E16" s="733">
        <f t="shared" si="8"/>
        <v>1001806110</v>
      </c>
      <c r="F16" s="733">
        <f t="shared" si="8"/>
        <v>3145459790</v>
      </c>
      <c r="G16" s="733">
        <f t="shared" si="8"/>
        <v>0</v>
      </c>
      <c r="H16" s="733">
        <f t="shared" si="8"/>
        <v>2143653680</v>
      </c>
    </row>
    <row r="17" spans="3:8">
      <c r="C17" s="735"/>
      <c r="D17" s="735">
        <f>D16-C16-CDPS!D28</f>
        <v>0</v>
      </c>
      <c r="E17" s="735">
        <f>E16-CDPS!E28</f>
        <v>0</v>
      </c>
      <c r="F17" s="735">
        <f>F16-CDPS!F28</f>
        <v>0</v>
      </c>
      <c r="H17" s="735">
        <f>H16-G16-CDPS!H28</f>
        <v>0</v>
      </c>
    </row>
    <row r="18" spans="3:8">
      <c r="E18" s="736"/>
      <c r="F18" s="869" t="str">
        <f>"Ngày 31 tháng  12  năm  "&amp;YEAR(TH!$C$10)</f>
        <v>Ngày 31 tháng  12  năm  2016</v>
      </c>
      <c r="G18" s="869"/>
      <c r="H18" s="869"/>
    </row>
    <row r="19" spans="3:8">
      <c r="F19" s="869" t="s">
        <v>104</v>
      </c>
      <c r="G19" s="869"/>
      <c r="H19" s="869"/>
    </row>
    <row r="20" spans="3:8">
      <c r="E20" s="735"/>
      <c r="F20" s="869" t="s">
        <v>131</v>
      </c>
      <c r="G20" s="869"/>
      <c r="H20" s="869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48" customWidth="1"/>
    <col min="2" max="2" width="8.28515625" style="748" customWidth="1"/>
    <col min="3" max="3" width="9.140625" style="748" customWidth="1"/>
    <col min="4" max="4" width="30.28515625" style="748" customWidth="1"/>
    <col min="5" max="5" width="6.85546875" style="748" customWidth="1"/>
    <col min="6" max="9" width="14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28</v>
      </c>
    </row>
    <row r="7" spans="1:9" s="3" customFormat="1" ht="16.5" customHeight="1">
      <c r="D7" s="106" t="s">
        <v>44</v>
      </c>
      <c r="E7" s="880" t="s">
        <v>622</v>
      </c>
      <c r="F7" s="880"/>
      <c r="G7" s="880"/>
      <c r="H7" s="880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5"/>
      <c r="D9" s="845"/>
      <c r="E9" s="845"/>
      <c r="F9" s="845"/>
      <c r="G9" s="845"/>
      <c r="H9" s="845"/>
      <c r="I9" s="845"/>
    </row>
    <row r="10" spans="1:9" s="3" customFormat="1" ht="14.25" customHeight="1">
      <c r="A10" s="846" t="s">
        <v>20</v>
      </c>
      <c r="B10" s="877" t="s">
        <v>1</v>
      </c>
      <c r="C10" s="877"/>
      <c r="D10" s="846" t="s">
        <v>0</v>
      </c>
      <c r="E10" s="846" t="s">
        <v>14</v>
      </c>
      <c r="F10" s="878" t="s">
        <v>21</v>
      </c>
      <c r="G10" s="879"/>
      <c r="H10" s="878" t="s">
        <v>30</v>
      </c>
      <c r="I10" s="879"/>
    </row>
    <row r="11" spans="1:9" s="3" customFormat="1" ht="24.75" customHeight="1">
      <c r="A11" s="846"/>
      <c r="B11" s="737" t="s">
        <v>15</v>
      </c>
      <c r="C11" s="737" t="s">
        <v>31</v>
      </c>
      <c r="D11" s="846"/>
      <c r="E11" s="846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VLOOKUP($E$7,'331'!$B$6:$H$15,2,0)</f>
        <v>0</v>
      </c>
      <c r="I13" s="519">
        <f>VLOOKUP($E$7,'331'!$B$6:$H$15,3,0)</f>
        <v>0</v>
      </c>
    </row>
    <row r="14" spans="1:9" s="3" customFormat="1" ht="18" customHeight="1">
      <c r="A14" s="740">
        <f ca="1">IF(ROWS($1:1)&gt;COUNT(Dong),"",OFFSET(TH!C$1,SMALL(Dong,ROWS($1:1)),))</f>
        <v>42559</v>
      </c>
      <c r="B14" s="740" t="str">
        <f ca="1">IF(ROWS($1:1)&gt;COUNT(Dong),"",OFFSET(TH!D$1,SMALL(Dong,ROWS($1:1)),))</f>
        <v>GBN</v>
      </c>
      <c r="C14" s="740">
        <f ca="1">IF(ROWS($1:1)&gt;COUNT(Dong),"",OFFSET(TH!E$1,SMALL(Dong,ROWS($1:1)),))</f>
        <v>42559</v>
      </c>
      <c r="D14" s="741" t="str">
        <f ca="1">IF(ROWS($1:1)&gt;COUNT(Dong),"",OFFSET(TH!F$1,SMALL(Dong,ROWS($1:1)),))</f>
        <v>Thanh toán tiền thuê kho</v>
      </c>
      <c r="E14" s="742" t="str">
        <f ca="1">IF(ROWS($1:1)&gt;COUNT(Dong),"",IF(OFFSET(TH!L$1,SMALL(Dong,ROWS($1:1)),)="331",OFFSET(TH!M$1,SMALL(Dong,ROWS($1:1)),),OFFSET(TH!L$1,SMALL(Dong,ROWS($1:1)),)))</f>
        <v>1121</v>
      </c>
      <c r="F14" s="743">
        <f ca="1">IF(ROWS($1:1)&gt;COUNT(Dong),"",IF(OFFSET(TH!L$1,SMALL(Dong,ROWS($1:1)),)="331",OFFSET(TH!K$1,SMALL(Dong,ROWS($1:1)),),0))</f>
        <v>40700000</v>
      </c>
      <c r="G14" s="743">
        <f ca="1">IF(ROWS($1:1)&gt;COUNT(Dong),"",IF(OFFSET(TH!M$1,SMALL(Dong,ROWS($1:1)),)="331",OFFSET(TH!K$1,SMALL(Dong,ROWS($1:1)),),0))</f>
        <v>0</v>
      </c>
      <c r="H14" s="744">
        <f t="shared" ref="H14:H49" ca="1" si="0">IF(D14&lt;&gt;"",MAX(H13+F14-G14-I13,0),0)</f>
        <v>40700000</v>
      </c>
      <c r="I14" s="744">
        <f t="shared" ref="I14:I49" ca="1" si="1">IF(D14&lt;&gt;"",MAX(I13+G14-H13-F14,0),0)</f>
        <v>0</v>
      </c>
    </row>
    <row r="15" spans="1:9" s="3" customFormat="1" ht="18" customHeight="1">
      <c r="A15" s="740">
        <f ca="1">IF(ROWS($1:2)&gt;COUNT(Dong),"",OFFSET(TH!C$1,SMALL(Dong,ROWS($1:2)),))</f>
        <v>42601</v>
      </c>
      <c r="B15" s="740" t="str">
        <f ca="1">IF(ROWS($1:2)&gt;COUNT(Dong),"",OFFSET(TH!D$1,SMALL(Dong,ROWS($1:2)),))</f>
        <v>GBN</v>
      </c>
      <c r="C15" s="740">
        <f ca="1">IF(ROWS($1:2)&gt;COUNT(Dong),"",OFFSET(TH!E$1,SMALL(Dong,ROWS($1:2)),))</f>
        <v>42601</v>
      </c>
      <c r="D15" s="741" t="str">
        <f ca="1">IF(ROWS($1:2)&gt;COUNT(Dong),"",OFFSET(TH!F$1,SMALL(Dong,ROWS($1:2)),))</f>
        <v>Thanh toán tiền thuê kho</v>
      </c>
      <c r="E15" s="742" t="str">
        <f ca="1">IF(ROWS($1:2)&gt;COUNT(Dong),"",IF(OFFSET(TH!L$1,SMALL(Dong,ROWS($1:2)),)="331",OFFSET(TH!M$1,SMALL(Dong,ROWS($1:2)),),OFFSET(TH!L$1,SMALL(Dong,ROWS($1:2)),)))</f>
        <v>1121</v>
      </c>
      <c r="F15" s="743">
        <f ca="1">IF(ROWS($1:2)&gt;COUNT(Dong),"",IF(OFFSET(TH!L$1,SMALL(Dong,ROWS($1:2)),)="331",OFFSET(TH!K$1,SMALL(Dong,ROWS($1:2)),),0))</f>
        <v>40700000</v>
      </c>
      <c r="G15" s="743">
        <f ca="1">IF(ROWS($1:2)&gt;COUNT(Dong),"",IF(OFFSET(TH!M$1,SMALL(Dong,ROWS($1:2)),)="331",OFFSET(TH!K$1,SMALL(Dong,ROWS($1:2)),),0))</f>
        <v>0</v>
      </c>
      <c r="H15" s="744">
        <f t="shared" ca="1" si="0"/>
        <v>81400000</v>
      </c>
      <c r="I15" s="744">
        <f t="shared" ca="1" si="1"/>
        <v>0</v>
      </c>
    </row>
    <row r="16" spans="1:9" s="3" customFormat="1" ht="18" customHeight="1">
      <c r="A16" s="740">
        <f ca="1">IF(ROWS($1:3)&gt;COUNT(Dong),"",OFFSET(TH!C$1,SMALL(Dong,ROWS($1:3)),))</f>
        <v>42625</v>
      </c>
      <c r="B16" s="740" t="str">
        <f ca="1">IF(ROWS($1:3)&gt;COUNT(Dong),"",OFFSET(TH!D$1,SMALL(Dong,ROWS($1:3)),))</f>
        <v>GBN</v>
      </c>
      <c r="C16" s="740">
        <f ca="1">IF(ROWS($1:3)&gt;COUNT(Dong),"",OFFSET(TH!E$1,SMALL(Dong,ROWS($1:3)),))</f>
        <v>42625</v>
      </c>
      <c r="D16" s="741" t="str">
        <f ca="1">IF(ROWS($1:3)&gt;COUNT(Dong),"",OFFSET(TH!F$1,SMALL(Dong,ROWS($1:3)),))</f>
        <v>Thanh toán tiền thuê kho</v>
      </c>
      <c r="E16" s="742" t="str">
        <f ca="1">IF(ROWS($1:3)&gt;COUNT(Dong),"",IF(OFFSET(TH!L$1,SMALL(Dong,ROWS($1:3)),)="331",OFFSET(TH!M$1,SMALL(Dong,ROWS($1:3)),),OFFSET(TH!L$1,SMALL(Dong,ROWS($1:3)),)))</f>
        <v>1121</v>
      </c>
      <c r="F16" s="743">
        <f ca="1">IF(ROWS($1:3)&gt;COUNT(Dong),"",IF(OFFSET(TH!L$1,SMALL(Dong,ROWS($1:3)),)="331",OFFSET(TH!K$1,SMALL(Dong,ROWS($1:3)),),0))</f>
        <v>20700000</v>
      </c>
      <c r="G16" s="743">
        <f ca="1">IF(ROWS($1:3)&gt;COUNT(Dong),"",IF(OFFSET(TH!M$1,SMALL(Dong,ROWS($1:3)),)="331",OFFSET(TH!K$1,SMALL(Dong,ROWS($1:3)),),0))</f>
        <v>0</v>
      </c>
      <c r="H16" s="744">
        <f t="shared" ca="1" si="0"/>
        <v>102100000</v>
      </c>
      <c r="I16" s="744">
        <f t="shared" ca="1" si="1"/>
        <v>0</v>
      </c>
    </row>
    <row r="17" spans="1:9" s="3" customFormat="1" ht="18" customHeight="1">
      <c r="A17" s="740">
        <f ca="1">IF(ROWS($1:4)&gt;COUNT(Dong),"",OFFSET(TH!C$1,SMALL(Dong,ROWS($1:4)),))</f>
        <v>42633</v>
      </c>
      <c r="B17" s="740" t="str">
        <f ca="1">IF(ROWS($1:4)&gt;COUNT(Dong),"",OFFSET(TH!D$1,SMALL(Dong,ROWS($1:4)),))</f>
        <v>GBN</v>
      </c>
      <c r="C17" s="740">
        <f ca="1">IF(ROWS($1:4)&gt;COUNT(Dong),"",OFFSET(TH!E$1,SMALL(Dong,ROWS($1:4)),))</f>
        <v>42633</v>
      </c>
      <c r="D17" s="741" t="str">
        <f ca="1">IF(ROWS($1:4)&gt;COUNT(Dong),"",OFFSET(TH!F$1,SMALL(Dong,ROWS($1:4)),))</f>
        <v>Thanh toán tiền thuê kho</v>
      </c>
      <c r="E17" s="742" t="str">
        <f ca="1">IF(ROWS($1:4)&gt;COUNT(Dong),"",IF(OFFSET(TH!L$1,SMALL(Dong,ROWS($1:4)),)="331",OFFSET(TH!M$1,SMALL(Dong,ROWS($1:4)),),OFFSET(TH!L$1,SMALL(Dong,ROWS($1:4)),)))</f>
        <v>1121</v>
      </c>
      <c r="F17" s="743">
        <f ca="1">IF(ROWS($1:4)&gt;COUNT(Dong),"",IF(OFFSET(TH!L$1,SMALL(Dong,ROWS($1:4)),)="331",OFFSET(TH!K$1,SMALL(Dong,ROWS($1:4)),),0))</f>
        <v>20000000</v>
      </c>
      <c r="G17" s="743">
        <f ca="1">IF(ROWS($1:4)&gt;COUNT(Dong),"",IF(OFFSET(TH!M$1,SMALL(Dong,ROWS($1:4)),)="331",OFFSET(TH!K$1,SMALL(Dong,ROWS($1:4)),),0))</f>
        <v>0</v>
      </c>
      <c r="H17" s="744">
        <f t="shared" ca="1" si="0"/>
        <v>122100000</v>
      </c>
      <c r="I17" s="744">
        <f t="shared" ca="1" si="1"/>
        <v>0</v>
      </c>
    </row>
    <row r="18" spans="1:9" s="3" customFormat="1" ht="18" customHeight="1">
      <c r="A18" s="740">
        <f ca="1">IF(ROWS($1:5)&gt;COUNT(Dong),"",OFFSET(TH!C$1,SMALL(Dong,ROWS($1:5)),))</f>
        <v>42643</v>
      </c>
      <c r="B18" s="740" t="str">
        <f ca="1">IF(ROWS($1:5)&gt;COUNT(Dong),"",OFFSET(TH!D$1,SMALL(Dong,ROWS($1:5)),))</f>
        <v>CTGS</v>
      </c>
      <c r="C18" s="740">
        <f ca="1">IF(ROWS($1:5)&gt;COUNT(Dong),"",OFFSET(TH!E$1,SMALL(Dong,ROWS($1:5)),))</f>
        <v>42576</v>
      </c>
      <c r="D18" s="741" t="str">
        <f ca="1">IF(ROWS($1:5)&gt;COUNT(Dong),"",OFFSET(TH!F$1,SMALL(Dong,ROWS($1:5)),))</f>
        <v>Tiền thuê xưởng T07/2016</v>
      </c>
      <c r="E18" s="742" t="str">
        <f ca="1">IF(ROWS($1:5)&gt;COUNT(Dong),"",IF(OFFSET(TH!L$1,SMALL(Dong,ROWS($1:5)),)="331",OFFSET(TH!M$1,SMALL(Dong,ROWS($1:5)),),OFFSET(TH!L$1,SMALL(Dong,ROWS($1:5)),)))</f>
        <v>642</v>
      </c>
      <c r="F18" s="743">
        <f ca="1">IF(ROWS($1:5)&gt;COUNT(Dong),"",IF(OFFSET(TH!L$1,SMALL(Dong,ROWS($1:5)),)="331",OFFSET(TH!K$1,SMALL(Dong,ROWS($1:5)),),0))</f>
        <v>0</v>
      </c>
      <c r="G18" s="743">
        <f ca="1">IF(ROWS($1:5)&gt;COUNT(Dong),"",IF(OFFSET(TH!M$1,SMALL(Dong,ROWS($1:5)),)="331",OFFSET(TH!K$1,SMALL(Dong,ROWS($1:5)),),0))</f>
        <v>37000000</v>
      </c>
      <c r="H18" s="744">
        <f t="shared" ca="1" si="0"/>
        <v>85100000</v>
      </c>
      <c r="I18" s="744">
        <f t="shared" ca="1" si="1"/>
        <v>0</v>
      </c>
    </row>
    <row r="19" spans="1:9" s="3" customFormat="1" ht="18" customHeight="1">
      <c r="A19" s="740">
        <f ca="1">IF(ROWS($1:6)&gt;COUNT(Dong),"",OFFSET(TH!C$1,SMALL(Dong,ROWS($1:6)),))</f>
        <v>42643</v>
      </c>
      <c r="B19" s="740" t="str">
        <f ca="1">IF(ROWS($1:6)&gt;COUNT(Dong),"",OFFSET(TH!D$1,SMALL(Dong,ROWS($1:6)),))</f>
        <v>CTGS</v>
      </c>
      <c r="C19" s="740">
        <f ca="1">IF(ROWS($1:6)&gt;COUNT(Dong),"",OFFSET(TH!E$1,SMALL(Dong,ROWS($1:6)),))</f>
        <v>42576</v>
      </c>
      <c r="D19" s="741" t="str">
        <f ca="1">IF(ROWS($1:6)&gt;COUNT(Dong),"",OFFSET(TH!F$1,SMALL(Dong,ROWS($1:6)),))</f>
        <v>VAT Tiền thuê xưởng</v>
      </c>
      <c r="E19" s="742" t="str">
        <f ca="1">IF(ROWS($1:6)&gt;COUNT(Dong),"",IF(OFFSET(TH!L$1,SMALL(Dong,ROWS($1:6)),)="331",OFFSET(TH!M$1,SMALL(Dong,ROWS($1:6)),),OFFSET(TH!L$1,SMALL(Dong,ROWS($1:6)),)))</f>
        <v>1331</v>
      </c>
      <c r="F19" s="743">
        <f ca="1">IF(ROWS($1:6)&gt;COUNT(Dong),"",IF(OFFSET(TH!L$1,SMALL(Dong,ROWS($1:6)),)="331",OFFSET(TH!K$1,SMALL(Dong,ROWS($1:6)),),0))</f>
        <v>0</v>
      </c>
      <c r="G19" s="743">
        <f ca="1">IF(ROWS($1:6)&gt;COUNT(Dong),"",IF(OFFSET(TH!M$1,SMALL(Dong,ROWS($1:6)),)="331",OFFSET(TH!K$1,SMALL(Dong,ROWS($1:6)),),0))</f>
        <v>3700000</v>
      </c>
      <c r="H19" s="744">
        <f t="shared" ca="1" si="0"/>
        <v>81400000</v>
      </c>
      <c r="I19" s="744">
        <f t="shared" ca="1" si="1"/>
        <v>0</v>
      </c>
    </row>
    <row r="20" spans="1:9" s="3" customFormat="1" ht="18" customHeight="1">
      <c r="A20" s="740">
        <f ca="1">IF(ROWS($1:7)&gt;COUNT(Dong),"",OFFSET(TH!C$1,SMALL(Dong,ROWS($1:7)),))</f>
        <v>42643</v>
      </c>
      <c r="B20" s="740" t="str">
        <f ca="1">IF(ROWS($1:7)&gt;COUNT(Dong),"",OFFSET(TH!D$1,SMALL(Dong,ROWS($1:7)),))</f>
        <v>CTGS</v>
      </c>
      <c r="C20" s="740">
        <f ca="1">IF(ROWS($1:7)&gt;COUNT(Dong),"",OFFSET(TH!E$1,SMALL(Dong,ROWS($1:7)),))</f>
        <v>42602</v>
      </c>
      <c r="D20" s="741" t="str">
        <f ca="1">IF(ROWS($1:7)&gt;COUNT(Dong),"",OFFSET(TH!F$1,SMALL(Dong,ROWS($1:7)),))</f>
        <v>Tiền thuê xưởng T08/2016</v>
      </c>
      <c r="E20" s="742" t="str">
        <f ca="1">IF(ROWS($1:7)&gt;COUNT(Dong),"",IF(OFFSET(TH!L$1,SMALL(Dong,ROWS($1:7)),)="331",OFFSET(TH!M$1,SMALL(Dong,ROWS($1:7)),),OFFSET(TH!L$1,SMALL(Dong,ROWS($1:7)),)))</f>
        <v>642</v>
      </c>
      <c r="F20" s="743">
        <f ca="1">IF(ROWS($1:7)&gt;COUNT(Dong),"",IF(OFFSET(TH!L$1,SMALL(Dong,ROWS($1:7)),)="331",OFFSET(TH!K$1,SMALL(Dong,ROWS($1:7)),),0))</f>
        <v>0</v>
      </c>
      <c r="G20" s="743">
        <f ca="1">IF(ROWS($1:7)&gt;COUNT(Dong),"",IF(OFFSET(TH!M$1,SMALL(Dong,ROWS($1:7)),)="331",OFFSET(TH!K$1,SMALL(Dong,ROWS($1:7)),),0))</f>
        <v>37000000</v>
      </c>
      <c r="H20" s="744">
        <f t="shared" ca="1" si="0"/>
        <v>44400000</v>
      </c>
      <c r="I20" s="744">
        <f t="shared" ca="1" si="1"/>
        <v>0</v>
      </c>
    </row>
    <row r="21" spans="1:9" s="3" customFormat="1" ht="18" customHeight="1">
      <c r="A21" s="740">
        <f ca="1">IF(ROWS($1:8)&gt;COUNT(Dong),"",OFFSET(TH!C$1,SMALL(Dong,ROWS($1:8)),))</f>
        <v>42643</v>
      </c>
      <c r="B21" s="740" t="str">
        <f ca="1">IF(ROWS($1:8)&gt;COUNT(Dong),"",OFFSET(TH!D$1,SMALL(Dong,ROWS($1:8)),))</f>
        <v>CTGS</v>
      </c>
      <c r="C21" s="740">
        <f ca="1">IF(ROWS($1:8)&gt;COUNT(Dong),"",OFFSET(TH!E$1,SMALL(Dong,ROWS($1:8)),))</f>
        <v>42602</v>
      </c>
      <c r="D21" s="741" t="str">
        <f ca="1">IF(ROWS($1:8)&gt;COUNT(Dong),"",OFFSET(TH!F$1,SMALL(Dong,ROWS($1:8)),))</f>
        <v>VAT Tiền thuê xưởng</v>
      </c>
      <c r="E21" s="742" t="str">
        <f ca="1">IF(ROWS($1:8)&gt;COUNT(Dong),"",IF(OFFSET(TH!L$1,SMALL(Dong,ROWS($1:8)),)="331",OFFSET(TH!M$1,SMALL(Dong,ROWS($1:8)),),OFFSET(TH!L$1,SMALL(Dong,ROWS($1:8)),)))</f>
        <v>1331</v>
      </c>
      <c r="F21" s="743">
        <f ca="1">IF(ROWS($1:8)&gt;COUNT(Dong),"",IF(OFFSET(TH!L$1,SMALL(Dong,ROWS($1:8)),)="331",OFFSET(TH!K$1,SMALL(Dong,ROWS($1:8)),),0))</f>
        <v>0</v>
      </c>
      <c r="G21" s="743">
        <f ca="1">IF(ROWS($1:8)&gt;COUNT(Dong),"",IF(OFFSET(TH!M$1,SMALL(Dong,ROWS($1:8)),)="331",OFFSET(TH!K$1,SMALL(Dong,ROWS($1:8)),),0))</f>
        <v>3700000</v>
      </c>
      <c r="H21" s="744">
        <f t="shared" ca="1" si="0"/>
        <v>40700000</v>
      </c>
      <c r="I21" s="744">
        <f t="shared" ca="1" si="1"/>
        <v>0</v>
      </c>
    </row>
    <row r="22" spans="1:9" s="3" customFormat="1" ht="18" customHeight="1">
      <c r="A22" s="740">
        <f ca="1">IF(ROWS($1:9)&gt;COUNT(Dong),"",OFFSET(TH!C$1,SMALL(Dong,ROWS($1:9)),))</f>
        <v>42643</v>
      </c>
      <c r="B22" s="740" t="str">
        <f ca="1">IF(ROWS($1:9)&gt;COUNT(Dong),"",OFFSET(TH!D$1,SMALL(Dong,ROWS($1:9)),))</f>
        <v>CTGS</v>
      </c>
      <c r="C22" s="740">
        <f ca="1">IF(ROWS($1:9)&gt;COUNT(Dong),"",OFFSET(TH!E$1,SMALL(Dong,ROWS($1:9)),))</f>
        <v>42638</v>
      </c>
      <c r="D22" s="741" t="str">
        <f ca="1">IF(ROWS($1:9)&gt;COUNT(Dong),"",OFFSET(TH!F$1,SMALL(Dong,ROWS($1:9)),))</f>
        <v>Tiền thuê xưởng T09/2016</v>
      </c>
      <c r="E22" s="742" t="str">
        <f ca="1">IF(ROWS($1:9)&gt;COUNT(Dong),"",IF(OFFSET(TH!L$1,SMALL(Dong,ROWS($1:9)),)="331",OFFSET(TH!M$1,SMALL(Dong,ROWS($1:9)),),OFFSET(TH!L$1,SMALL(Dong,ROWS($1:9)),)))</f>
        <v>642</v>
      </c>
      <c r="F22" s="743">
        <f ca="1">IF(ROWS($1:9)&gt;COUNT(Dong),"",IF(OFFSET(TH!L$1,SMALL(Dong,ROWS($1:9)),)="331",OFFSET(TH!K$1,SMALL(Dong,ROWS($1:9)),),0))</f>
        <v>0</v>
      </c>
      <c r="G22" s="743">
        <f ca="1">IF(ROWS($1:9)&gt;COUNT(Dong),"",IF(OFFSET(TH!M$1,SMALL(Dong,ROWS($1:9)),)="331",OFFSET(TH!K$1,SMALL(Dong,ROWS($1:9)),),0))</f>
        <v>37000000</v>
      </c>
      <c r="H22" s="744">
        <f t="shared" ca="1" si="0"/>
        <v>3700000</v>
      </c>
      <c r="I22" s="744">
        <f t="shared" ca="1" si="1"/>
        <v>0</v>
      </c>
    </row>
    <row r="23" spans="1:9" s="3" customFormat="1" ht="18" customHeight="1">
      <c r="A23" s="740">
        <f ca="1">IF(ROWS($1:10)&gt;COUNT(Dong),"",OFFSET(TH!C$1,SMALL(Dong,ROWS($1:10)),))</f>
        <v>42643</v>
      </c>
      <c r="B23" s="740" t="str">
        <f ca="1">IF(ROWS($1:10)&gt;COUNT(Dong),"",OFFSET(TH!D$1,SMALL(Dong,ROWS($1:10)),))</f>
        <v>CTGS</v>
      </c>
      <c r="C23" s="740">
        <f ca="1">IF(ROWS($1:10)&gt;COUNT(Dong),"",OFFSET(TH!E$1,SMALL(Dong,ROWS($1:10)),))</f>
        <v>42638</v>
      </c>
      <c r="D23" s="741" t="str">
        <f ca="1">IF(ROWS($1:10)&gt;COUNT(Dong),"",OFFSET(TH!F$1,SMALL(Dong,ROWS($1:10)),))</f>
        <v>VAT Tiền thuê xưởng</v>
      </c>
      <c r="E23" s="742" t="str">
        <f ca="1">IF(ROWS($1:10)&gt;COUNT(Dong),"",IF(OFFSET(TH!L$1,SMALL(Dong,ROWS($1:10)),)="331",OFFSET(TH!M$1,SMALL(Dong,ROWS($1:10)),),OFFSET(TH!L$1,SMALL(Dong,ROWS($1:10)),)))</f>
        <v>1331</v>
      </c>
      <c r="F23" s="743">
        <f ca="1">IF(ROWS($1:10)&gt;COUNT(Dong),"",IF(OFFSET(TH!L$1,SMALL(Dong,ROWS($1:10)),)="331",OFFSET(TH!K$1,SMALL(Dong,ROWS($1:10)),),0))</f>
        <v>0</v>
      </c>
      <c r="G23" s="743">
        <f ca="1">IF(ROWS($1:10)&gt;COUNT(Dong),"",IF(OFFSET(TH!M$1,SMALL(Dong,ROWS($1:10)),)="331",OFFSET(TH!K$1,SMALL(Dong,ROWS($1:10)),),0))</f>
        <v>3700000</v>
      </c>
      <c r="H23" s="744">
        <f t="shared" ca="1" si="0"/>
        <v>0</v>
      </c>
      <c r="I23" s="744">
        <f t="shared" ca="1" si="1"/>
        <v>0</v>
      </c>
    </row>
    <row r="24" spans="1:9" s="3" customFormat="1" ht="18" customHeight="1">
      <c r="A24" s="740">
        <f ca="1">IF(ROWS($1:11)&gt;COUNT(Dong),"",OFFSET(TH!C$1,SMALL(Dong,ROWS($1:11)),))</f>
        <v>42658</v>
      </c>
      <c r="B24" s="740" t="str">
        <f ca="1">IF(ROWS($1:11)&gt;COUNT(Dong),"",OFFSET(TH!D$1,SMALL(Dong,ROWS($1:11)),))</f>
        <v>CTGS</v>
      </c>
      <c r="C24" s="740">
        <f ca="1">IF(ROWS($1:11)&gt;COUNT(Dong),"",OFFSET(TH!E$1,SMALL(Dong,ROWS($1:11)),))</f>
        <v>42658</v>
      </c>
      <c r="D24" s="741" t="str">
        <f ca="1">IF(ROWS($1:11)&gt;COUNT(Dong),"",OFFSET(TH!F$1,SMALL(Dong,ROWS($1:11)),))</f>
        <v>Tiền thuê xưởng T10/2016</v>
      </c>
      <c r="E24" s="742" t="str">
        <f ca="1">IF(ROWS($1:11)&gt;COUNT(Dong),"",IF(OFFSET(TH!L$1,SMALL(Dong,ROWS($1:11)),)="331",OFFSET(TH!M$1,SMALL(Dong,ROWS($1:11)),),OFFSET(TH!L$1,SMALL(Dong,ROWS($1:11)),)))</f>
        <v>642</v>
      </c>
      <c r="F24" s="743">
        <f ca="1">IF(ROWS($1:11)&gt;COUNT(Dong),"",IF(OFFSET(TH!L$1,SMALL(Dong,ROWS($1:11)),)="331",OFFSET(TH!K$1,SMALL(Dong,ROWS($1:11)),),0))</f>
        <v>0</v>
      </c>
      <c r="G24" s="743">
        <f ca="1">IF(ROWS($1:11)&gt;COUNT(Dong),"",IF(OFFSET(TH!M$1,SMALL(Dong,ROWS($1:11)),)="331",OFFSET(TH!K$1,SMALL(Dong,ROWS($1:11)),),0))</f>
        <v>37000000</v>
      </c>
      <c r="H24" s="744">
        <f t="shared" ca="1" si="0"/>
        <v>0</v>
      </c>
      <c r="I24" s="744">
        <f t="shared" ca="1" si="1"/>
        <v>37000000</v>
      </c>
    </row>
    <row r="25" spans="1:9" s="3" customFormat="1" ht="18" customHeight="1">
      <c r="A25" s="740">
        <f ca="1">IF(ROWS($1:12)&gt;COUNT(Dong),"",OFFSET(TH!C$1,SMALL(Dong,ROWS($1:12)),))</f>
        <v>42658</v>
      </c>
      <c r="B25" s="740" t="str">
        <f ca="1">IF(ROWS($1:12)&gt;COUNT(Dong),"",OFFSET(TH!D$1,SMALL(Dong,ROWS($1:12)),))</f>
        <v>CTGS</v>
      </c>
      <c r="C25" s="740">
        <f ca="1">IF(ROWS($1:12)&gt;COUNT(Dong),"",OFFSET(TH!E$1,SMALL(Dong,ROWS($1:12)),))</f>
        <v>42658</v>
      </c>
      <c r="D25" s="741" t="str">
        <f ca="1">IF(ROWS($1:12)&gt;COUNT(Dong),"",OFFSET(TH!F$1,SMALL(Dong,ROWS($1:12)),))</f>
        <v>VAT Tiền thuê xưởng</v>
      </c>
      <c r="E25" s="742" t="str">
        <f ca="1">IF(ROWS($1:12)&gt;COUNT(Dong),"",IF(OFFSET(TH!L$1,SMALL(Dong,ROWS($1:12)),)="331",OFFSET(TH!M$1,SMALL(Dong,ROWS($1:12)),),OFFSET(TH!L$1,SMALL(Dong,ROWS($1:12)),)))</f>
        <v>1331</v>
      </c>
      <c r="F25" s="743">
        <f ca="1">IF(ROWS($1:12)&gt;COUNT(Dong),"",IF(OFFSET(TH!L$1,SMALL(Dong,ROWS($1:12)),)="331",OFFSET(TH!K$1,SMALL(Dong,ROWS($1:12)),),0))</f>
        <v>0</v>
      </c>
      <c r="G25" s="743">
        <f ca="1">IF(ROWS($1:12)&gt;COUNT(Dong),"",IF(OFFSET(TH!M$1,SMALL(Dong,ROWS($1:12)),)="331",OFFSET(TH!K$1,SMALL(Dong,ROWS($1:12)),),0))</f>
        <v>3700000</v>
      </c>
      <c r="H25" s="744">
        <f t="shared" ca="1" si="0"/>
        <v>0</v>
      </c>
      <c r="I25" s="744">
        <f t="shared" ca="1" si="1"/>
        <v>40700000</v>
      </c>
    </row>
    <row r="26" spans="1:9" s="3" customFormat="1" ht="18" customHeight="1">
      <c r="A26" s="740">
        <f ca="1">IF(ROWS($1:13)&gt;COUNT(Dong),"",OFFSET(TH!C$1,SMALL(Dong,ROWS($1:13)),))</f>
        <v>42660</v>
      </c>
      <c r="B26" s="740" t="str">
        <f ca="1">IF(ROWS($1:13)&gt;COUNT(Dong),"",OFFSET(TH!D$1,SMALL(Dong,ROWS($1:13)),))</f>
        <v>GBN</v>
      </c>
      <c r="C26" s="740">
        <f ca="1">IF(ROWS($1:13)&gt;COUNT(Dong),"",OFFSET(TH!E$1,SMALL(Dong,ROWS($1:13)),))</f>
        <v>42660</v>
      </c>
      <c r="D26" s="741" t="str">
        <f ca="1">IF(ROWS($1:13)&gt;COUNT(Dong),"",OFFSET(TH!F$1,SMALL(Dong,ROWS($1:13)),))</f>
        <v>Thanh toán tiền thuê kho</v>
      </c>
      <c r="E26" s="742" t="str">
        <f ca="1">IF(ROWS($1:13)&gt;COUNT(Dong),"",IF(OFFSET(TH!L$1,SMALL(Dong,ROWS($1:13)),)="331",OFFSET(TH!M$1,SMALL(Dong,ROWS($1:13)),),OFFSET(TH!L$1,SMALL(Dong,ROWS($1:13)),)))</f>
        <v>1121</v>
      </c>
      <c r="F26" s="743">
        <f ca="1">IF(ROWS($1:13)&gt;COUNT(Dong),"",IF(OFFSET(TH!L$1,SMALL(Dong,ROWS($1:13)),)="331",OFFSET(TH!K$1,SMALL(Dong,ROWS($1:13)),),0))</f>
        <v>40700000</v>
      </c>
      <c r="G26" s="743">
        <f ca="1">IF(ROWS($1:13)&gt;COUNT(Dong),"",IF(OFFSET(TH!M$1,SMALL(Dong,ROWS($1:13)),)="331",OFFSET(TH!K$1,SMALL(Dong,ROWS($1:13)),),0))</f>
        <v>0</v>
      </c>
      <c r="H26" s="744">
        <f t="shared" ca="1" si="0"/>
        <v>0</v>
      </c>
      <c r="I26" s="744">
        <f t="shared" ca="1" si="1"/>
        <v>0</v>
      </c>
    </row>
    <row r="27" spans="1:9" s="3" customFormat="1" ht="18" customHeight="1">
      <c r="A27" s="740">
        <f ca="1">IF(ROWS($1:14)&gt;COUNT(Dong),"",OFFSET(TH!C$1,SMALL(Dong,ROWS($1:14)),))</f>
        <v>42689</v>
      </c>
      <c r="B27" s="740" t="str">
        <f ca="1">IF(ROWS($1:14)&gt;COUNT(Dong),"",OFFSET(TH!D$1,SMALL(Dong,ROWS($1:14)),))</f>
        <v>CTGS</v>
      </c>
      <c r="C27" s="740">
        <f ca="1">IF(ROWS($1:14)&gt;COUNT(Dong),"",OFFSET(TH!E$1,SMALL(Dong,ROWS($1:14)),))</f>
        <v>42689</v>
      </c>
      <c r="D27" s="741" t="str">
        <f ca="1">IF(ROWS($1:14)&gt;COUNT(Dong),"",OFFSET(TH!F$1,SMALL(Dong,ROWS($1:14)),))</f>
        <v>Tiền thuê xưởng T11/2016</v>
      </c>
      <c r="E27" s="742" t="str">
        <f ca="1">IF(ROWS($1:14)&gt;COUNT(Dong),"",IF(OFFSET(TH!L$1,SMALL(Dong,ROWS($1:14)),)="331",OFFSET(TH!M$1,SMALL(Dong,ROWS($1:14)),),OFFSET(TH!L$1,SMALL(Dong,ROWS($1:14)),)))</f>
        <v>642</v>
      </c>
      <c r="F27" s="743">
        <f ca="1">IF(ROWS($1:14)&gt;COUNT(Dong),"",IF(OFFSET(TH!L$1,SMALL(Dong,ROWS($1:14)),)="331",OFFSET(TH!K$1,SMALL(Dong,ROWS($1:14)),),0))</f>
        <v>0</v>
      </c>
      <c r="G27" s="743">
        <f ca="1">IF(ROWS($1:14)&gt;COUNT(Dong),"",IF(OFFSET(TH!M$1,SMALL(Dong,ROWS($1:14)),)="331",OFFSET(TH!K$1,SMALL(Dong,ROWS($1:14)),),0))</f>
        <v>37000000</v>
      </c>
      <c r="H27" s="744">
        <f t="shared" ca="1" si="0"/>
        <v>0</v>
      </c>
      <c r="I27" s="744">
        <f t="shared" ca="1" si="1"/>
        <v>37000000</v>
      </c>
    </row>
    <row r="28" spans="1:9" s="3" customFormat="1" ht="18" customHeight="1">
      <c r="A28" s="740">
        <f ca="1">IF(ROWS($1:15)&gt;COUNT(Dong),"",OFFSET(TH!C$1,SMALL(Dong,ROWS($1:15)),))</f>
        <v>42689</v>
      </c>
      <c r="B28" s="740" t="str">
        <f ca="1">IF(ROWS($1:15)&gt;COUNT(Dong),"",OFFSET(TH!D$1,SMALL(Dong,ROWS($1:15)),))</f>
        <v>CTGS</v>
      </c>
      <c r="C28" s="740">
        <f ca="1">IF(ROWS($1:15)&gt;COUNT(Dong),"",OFFSET(TH!E$1,SMALL(Dong,ROWS($1:15)),))</f>
        <v>42689</v>
      </c>
      <c r="D28" s="741" t="str">
        <f ca="1">IF(ROWS($1:15)&gt;COUNT(Dong),"",OFFSET(TH!F$1,SMALL(Dong,ROWS($1:15)),))</f>
        <v>VAT Tiền thuê xưởng</v>
      </c>
      <c r="E28" s="742" t="str">
        <f ca="1">IF(ROWS($1:15)&gt;COUNT(Dong),"",IF(OFFSET(TH!L$1,SMALL(Dong,ROWS($1:15)),)="331",OFFSET(TH!M$1,SMALL(Dong,ROWS($1:15)),),OFFSET(TH!L$1,SMALL(Dong,ROWS($1:15)),)))</f>
        <v>1331</v>
      </c>
      <c r="F28" s="743">
        <f ca="1">IF(ROWS($1:15)&gt;COUNT(Dong),"",IF(OFFSET(TH!L$1,SMALL(Dong,ROWS($1:15)),)="331",OFFSET(TH!K$1,SMALL(Dong,ROWS($1:15)),),0))</f>
        <v>0</v>
      </c>
      <c r="G28" s="743">
        <f ca="1">IF(ROWS($1:15)&gt;COUNT(Dong),"",IF(OFFSET(TH!M$1,SMALL(Dong,ROWS($1:15)),)="331",OFFSET(TH!K$1,SMALL(Dong,ROWS($1:15)),),0))</f>
        <v>3700000</v>
      </c>
      <c r="H28" s="744">
        <f t="shared" ca="1" si="0"/>
        <v>0</v>
      </c>
      <c r="I28" s="744">
        <f t="shared" ca="1" si="1"/>
        <v>40700000</v>
      </c>
    </row>
    <row r="29" spans="1:9" s="3" customFormat="1" ht="18" customHeight="1">
      <c r="A29" s="740">
        <f ca="1">IF(ROWS($1:16)&gt;COUNT(Dong),"",OFFSET(TH!C$1,SMALL(Dong,ROWS($1:16)),))</f>
        <v>42692</v>
      </c>
      <c r="B29" s="740" t="str">
        <f ca="1">IF(ROWS($1:16)&gt;COUNT(Dong),"",OFFSET(TH!D$1,SMALL(Dong,ROWS($1:16)),))</f>
        <v>GBN</v>
      </c>
      <c r="C29" s="740">
        <f ca="1">IF(ROWS($1:16)&gt;COUNT(Dong),"",OFFSET(TH!E$1,SMALL(Dong,ROWS($1:16)),))</f>
        <v>42692</v>
      </c>
      <c r="D29" s="741" t="str">
        <f ca="1">IF(ROWS($1:16)&gt;COUNT(Dong),"",OFFSET(TH!F$1,SMALL(Dong,ROWS($1:16)),))</f>
        <v>Thanh toán tiền thuê kho</v>
      </c>
      <c r="E29" s="742" t="str">
        <f ca="1">IF(ROWS($1:16)&gt;COUNT(Dong),"",IF(OFFSET(TH!L$1,SMALL(Dong,ROWS($1:16)),)="331",OFFSET(TH!M$1,SMALL(Dong,ROWS($1:16)),),OFFSET(TH!L$1,SMALL(Dong,ROWS($1:16)),)))</f>
        <v>1121</v>
      </c>
      <c r="F29" s="743">
        <f ca="1">IF(ROWS($1:16)&gt;COUNT(Dong),"",IF(OFFSET(TH!L$1,SMALL(Dong,ROWS($1:16)),)="331",OFFSET(TH!K$1,SMALL(Dong,ROWS($1:16)),),0))</f>
        <v>40700000</v>
      </c>
      <c r="G29" s="743">
        <f ca="1">IF(ROWS($1:16)&gt;COUNT(Dong),"",IF(OFFSET(TH!M$1,SMALL(Dong,ROWS($1:16)),)="331",OFFSET(TH!K$1,SMALL(Dong,ROWS($1:16)),),0))</f>
        <v>0</v>
      </c>
      <c r="H29" s="744">
        <f t="shared" ca="1" si="0"/>
        <v>0</v>
      </c>
      <c r="I29" s="744">
        <f t="shared" ca="1" si="1"/>
        <v>0</v>
      </c>
    </row>
    <row r="30" spans="1:9" s="3" customFormat="1" ht="18" customHeight="1">
      <c r="A30" s="740">
        <f ca="1">IF(ROWS($1:17)&gt;COUNT(Dong),"",OFFSET(TH!C$1,SMALL(Dong,ROWS($1:17)),))</f>
        <v>42709</v>
      </c>
      <c r="B30" s="740" t="str">
        <f ca="1">IF(ROWS($1:17)&gt;COUNT(Dong),"",OFFSET(TH!D$1,SMALL(Dong,ROWS($1:17)),))</f>
        <v>CTGS</v>
      </c>
      <c r="C30" s="740">
        <f ca="1">IF(ROWS($1:17)&gt;COUNT(Dong),"",OFFSET(TH!E$1,SMALL(Dong,ROWS($1:17)),))</f>
        <v>42709</v>
      </c>
      <c r="D30" s="741" t="str">
        <f ca="1">IF(ROWS($1:17)&gt;COUNT(Dong),"",OFFSET(TH!F$1,SMALL(Dong,ROWS($1:17)),))</f>
        <v>Tiền thuê xưởng T12/2016</v>
      </c>
      <c r="E30" s="742" t="str">
        <f ca="1">IF(ROWS($1:17)&gt;COUNT(Dong),"",IF(OFFSET(TH!L$1,SMALL(Dong,ROWS($1:17)),)="331",OFFSET(TH!M$1,SMALL(Dong,ROWS($1:17)),),OFFSET(TH!L$1,SMALL(Dong,ROWS($1:17)),)))</f>
        <v>642</v>
      </c>
      <c r="F30" s="743">
        <f ca="1">IF(ROWS($1:17)&gt;COUNT(Dong),"",IF(OFFSET(TH!L$1,SMALL(Dong,ROWS($1:17)),)="331",OFFSET(TH!K$1,SMALL(Dong,ROWS($1:17)),),0))</f>
        <v>0</v>
      </c>
      <c r="G30" s="743">
        <f ca="1">IF(ROWS($1:17)&gt;COUNT(Dong),"",IF(OFFSET(TH!M$1,SMALL(Dong,ROWS($1:17)),)="331",OFFSET(TH!K$1,SMALL(Dong,ROWS($1:17)),),0))</f>
        <v>37000000</v>
      </c>
      <c r="H30" s="744">
        <f t="shared" ca="1" si="0"/>
        <v>0</v>
      </c>
      <c r="I30" s="744">
        <f t="shared" ca="1" si="1"/>
        <v>37000000</v>
      </c>
    </row>
    <row r="31" spans="1:9" s="3" customFormat="1" ht="18" customHeight="1">
      <c r="A31" s="740">
        <f ca="1">IF(ROWS($1:18)&gt;COUNT(Dong),"",OFFSET(TH!C$1,SMALL(Dong,ROWS($1:18)),))</f>
        <v>42709</v>
      </c>
      <c r="B31" s="740" t="str">
        <f ca="1">IF(ROWS($1:18)&gt;COUNT(Dong),"",OFFSET(TH!D$1,SMALL(Dong,ROWS($1:18)),))</f>
        <v>CTGS</v>
      </c>
      <c r="C31" s="740">
        <f ca="1">IF(ROWS($1:18)&gt;COUNT(Dong),"",OFFSET(TH!E$1,SMALL(Dong,ROWS($1:18)),))</f>
        <v>42709</v>
      </c>
      <c r="D31" s="741" t="str">
        <f ca="1">IF(ROWS($1:18)&gt;COUNT(Dong),"",OFFSET(TH!F$1,SMALL(Dong,ROWS($1:18)),))</f>
        <v>VAT Tiền thuê xưởng</v>
      </c>
      <c r="E31" s="742" t="str">
        <f ca="1">IF(ROWS($1:18)&gt;COUNT(Dong),"",IF(OFFSET(TH!L$1,SMALL(Dong,ROWS($1:18)),)="331",OFFSET(TH!M$1,SMALL(Dong,ROWS($1:18)),),OFFSET(TH!L$1,SMALL(Dong,ROWS($1:18)),)))</f>
        <v>1331</v>
      </c>
      <c r="F31" s="743">
        <f ca="1">IF(ROWS($1:18)&gt;COUNT(Dong),"",IF(OFFSET(TH!L$1,SMALL(Dong,ROWS($1:18)),)="331",OFFSET(TH!K$1,SMALL(Dong,ROWS($1:18)),),0))</f>
        <v>0</v>
      </c>
      <c r="G31" s="743">
        <f ca="1">IF(ROWS($1:18)&gt;COUNT(Dong),"",IF(OFFSET(TH!M$1,SMALL(Dong,ROWS($1:18)),)="331",OFFSET(TH!K$1,SMALL(Dong,ROWS($1:18)),),0))</f>
        <v>3700000</v>
      </c>
      <c r="H31" s="744">
        <f t="shared" ca="1" si="0"/>
        <v>0</v>
      </c>
      <c r="I31" s="744">
        <f t="shared" ca="1" si="1"/>
        <v>40700000</v>
      </c>
    </row>
    <row r="32" spans="1:9" s="3" customFormat="1" ht="18" customHeight="1">
      <c r="A32" s="740">
        <f ca="1">IF(ROWS($1:19)&gt;COUNT(Dong),"",OFFSET(TH!C$1,SMALL(Dong,ROWS($1:19)),))</f>
        <v>42718</v>
      </c>
      <c r="B32" s="740" t="str">
        <f ca="1">IF(ROWS($1:19)&gt;COUNT(Dong),"",OFFSET(TH!D$1,SMALL(Dong,ROWS($1:19)),))</f>
        <v>GBN</v>
      </c>
      <c r="C32" s="740">
        <f ca="1">IF(ROWS($1:19)&gt;COUNT(Dong),"",OFFSET(TH!E$1,SMALL(Dong,ROWS($1:19)),))</f>
        <v>42718</v>
      </c>
      <c r="D32" s="741" t="str">
        <f ca="1">IF(ROWS($1:19)&gt;COUNT(Dong),"",OFFSET(TH!F$1,SMALL(Dong,ROWS($1:19)),))</f>
        <v>Thanh toán tiền thuê kho T12/2016</v>
      </c>
      <c r="E32" s="742" t="str">
        <f ca="1">IF(ROWS($1:19)&gt;COUNT(Dong),"",IF(OFFSET(TH!L$1,SMALL(Dong,ROWS($1:19)),)="331",OFFSET(TH!M$1,SMALL(Dong,ROWS($1:19)),),OFFSET(TH!L$1,SMALL(Dong,ROWS($1:19)),)))</f>
        <v>1121</v>
      </c>
      <c r="F32" s="743">
        <f ca="1">IF(ROWS($1:19)&gt;COUNT(Dong),"",IF(OFFSET(TH!L$1,SMALL(Dong,ROWS($1:19)),)="331",OFFSET(TH!K$1,SMALL(Dong,ROWS($1:19)),),0))</f>
        <v>40700000</v>
      </c>
      <c r="G32" s="743">
        <f ca="1">IF(ROWS($1:19)&gt;COUNT(Dong),"",IF(OFFSET(TH!M$1,SMALL(Dong,ROWS($1:19)),)="331",OFFSET(TH!K$1,SMALL(Dong,ROWS($1:19)),),0))</f>
        <v>0</v>
      </c>
      <c r="H32" s="744">
        <f t="shared" ca="1" si="0"/>
        <v>0</v>
      </c>
      <c r="I32" s="744">
        <f t="shared" ca="1" si="1"/>
        <v>0</v>
      </c>
    </row>
    <row r="33" spans="1:9" s="3" customFormat="1" ht="18" customHeight="1">
      <c r="A33" s="740" t="str">
        <f ca="1">IF(ROWS($1:20)&gt;COUNT(Dong),"",OFFSET(TH!C$1,SMALL(Dong,ROWS($1:20)),))</f>
        <v/>
      </c>
      <c r="B33" s="740" t="str">
        <f ca="1">IF(ROWS($1:20)&gt;COUNT(Dong),"",OFFSET(TH!D$1,SMALL(Dong,ROWS($1:20)),))</f>
        <v/>
      </c>
      <c r="C33" s="740" t="str">
        <f ca="1">IF(ROWS($1:20)&gt;COUNT(Dong),"",OFFSET(TH!E$1,SMALL(Dong,ROWS($1:20)),))</f>
        <v/>
      </c>
      <c r="D33" s="741" t="str">
        <f ca="1">IF(ROWS($1:20)&gt;COUNT(Dong),"",OFFSET(TH!F$1,SMALL(Dong,ROWS($1:20)),))</f>
        <v/>
      </c>
      <c r="E33" s="742" t="str">
        <f ca="1">IF(ROWS($1:20)&gt;COUNT(Dong),"",IF(OFFSET(TH!L$1,SMALL(Dong,ROWS($1:20)),)="331",OFFSET(TH!M$1,SMALL(Dong,ROWS($1:20)),),OFFSET(TH!L$1,SMALL(Dong,ROWS($1:20)),)))</f>
        <v/>
      </c>
      <c r="F33" s="743" t="str">
        <f ca="1">IF(ROWS($1:20)&gt;COUNT(Dong),"",IF(OFFSET(TH!L$1,SMALL(Dong,ROWS($1:20)),)="331",OFFSET(TH!K$1,SMALL(Dong,ROWS($1:20)),),0))</f>
        <v/>
      </c>
      <c r="G33" s="743" t="str">
        <f ca="1">IF(ROWS($1:20)&gt;COUNT(Dong),"",IF(OFFSET(TH!M$1,SMALL(Dong,ROWS($1:20)),)="331",OFFSET(TH!K$1,SMALL(Dong,ROWS($1:20)),),0))</f>
        <v/>
      </c>
      <c r="H33" s="744">
        <f t="shared" ca="1" si="0"/>
        <v>0</v>
      </c>
      <c r="I33" s="744">
        <f t="shared" ca="1" si="1"/>
        <v>0</v>
      </c>
    </row>
    <row r="34" spans="1:9" s="3" customFormat="1" ht="18" customHeight="1">
      <c r="A34" s="740" t="str">
        <f ca="1">IF(ROWS($1:21)&gt;COUNT(Dong),"",OFFSET(TH!C$1,SMALL(Dong,ROWS($1:21)),))</f>
        <v/>
      </c>
      <c r="B34" s="740" t="str">
        <f ca="1">IF(ROWS($1:21)&gt;COUNT(Dong),"",OFFSET(TH!D$1,SMALL(Dong,ROWS($1:21)),))</f>
        <v/>
      </c>
      <c r="C34" s="740" t="str">
        <f ca="1">IF(ROWS($1:21)&gt;COUNT(Dong),"",OFFSET(TH!E$1,SMALL(Dong,ROWS($1:21)),))</f>
        <v/>
      </c>
      <c r="D34" s="741" t="str">
        <f ca="1">IF(ROWS($1:21)&gt;COUNT(Dong),"",OFFSET(TH!F$1,SMALL(Dong,ROWS($1:21)),))</f>
        <v/>
      </c>
      <c r="E34" s="742" t="str">
        <f ca="1">IF(ROWS($1:21)&gt;COUNT(Dong),"",IF(OFFSET(TH!L$1,SMALL(Dong,ROWS($1:21)),)="331",OFFSET(TH!M$1,SMALL(Dong,ROWS($1:21)),),OFFSET(TH!L$1,SMALL(Dong,ROWS($1:21)),)))</f>
        <v/>
      </c>
      <c r="F34" s="743" t="str">
        <f ca="1">IF(ROWS($1:21)&gt;COUNT(Dong),"",IF(OFFSET(TH!L$1,SMALL(Dong,ROWS($1:21)),)="331",OFFSET(TH!K$1,SMALL(Dong,ROWS($1:21)),),0))</f>
        <v/>
      </c>
      <c r="G34" s="743" t="str">
        <f ca="1">IF(ROWS($1:21)&gt;COUNT(Dong),"",IF(OFFSET(TH!M$1,SMALL(Dong,ROWS($1:21)),)="331",OFFSET(TH!K$1,SMALL(Dong,ROWS($1:21)),),0))</f>
        <v/>
      </c>
      <c r="H34" s="744">
        <f t="shared" ca="1" si="0"/>
        <v>0</v>
      </c>
      <c r="I34" s="744">
        <f t="shared" ca="1" si="1"/>
        <v>0</v>
      </c>
    </row>
    <row r="35" spans="1:9" s="3" customFormat="1" ht="18" customHeight="1">
      <c r="A35" s="740" t="str">
        <f ca="1">IF(ROWS($1:22)&gt;COUNT(Dong),"",OFFSET(TH!C$1,SMALL(Dong,ROWS($1:22)),))</f>
        <v/>
      </c>
      <c r="B35" s="740" t="str">
        <f ca="1">IF(ROWS($1:22)&gt;COUNT(Dong),"",OFFSET(TH!D$1,SMALL(Dong,ROWS($1:22)),))</f>
        <v/>
      </c>
      <c r="C35" s="740" t="str">
        <f ca="1">IF(ROWS($1:22)&gt;COUNT(Dong),"",OFFSET(TH!E$1,SMALL(Dong,ROWS($1:22)),))</f>
        <v/>
      </c>
      <c r="D35" s="741" t="str">
        <f ca="1">IF(ROWS($1:22)&gt;COUNT(Dong),"",OFFSET(TH!F$1,SMALL(Dong,ROWS($1:22)),))</f>
        <v/>
      </c>
      <c r="E35" s="742" t="str">
        <f ca="1">IF(ROWS($1:22)&gt;COUNT(Dong),"",IF(OFFSET(TH!L$1,SMALL(Dong,ROWS($1:22)),)="331",OFFSET(TH!M$1,SMALL(Dong,ROWS($1:22)),),OFFSET(TH!L$1,SMALL(Dong,ROWS($1:22)),)))</f>
        <v/>
      </c>
      <c r="F35" s="743" t="str">
        <f ca="1">IF(ROWS($1:22)&gt;COUNT(Dong),"",IF(OFFSET(TH!L$1,SMALL(Dong,ROWS($1:22)),)="331",OFFSET(TH!K$1,SMALL(Dong,ROWS($1:22)),),0))</f>
        <v/>
      </c>
      <c r="G35" s="743" t="str">
        <f ca="1">IF(ROWS($1:22)&gt;COUNT(Dong),"",IF(OFFSET(TH!M$1,SMALL(Dong,ROWS($1:22)),)="331",OFFSET(TH!K$1,SMALL(Dong,ROWS($1:22)),),0))</f>
        <v/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 t="str">
        <f ca="1">IF(ROWS($1:23)&gt;COUNT(Dong),"",OFFSET(TH!C$1,SMALL(Dong,ROWS($1:23)),))</f>
        <v/>
      </c>
      <c r="B36" s="740" t="str">
        <f ca="1">IF(ROWS($1:23)&gt;COUNT(Dong),"",OFFSET(TH!D$1,SMALL(Dong,ROWS($1:23)),))</f>
        <v/>
      </c>
      <c r="C36" s="740" t="str">
        <f ca="1">IF(ROWS($1:23)&gt;COUNT(Dong),"",OFFSET(TH!E$1,SMALL(Dong,ROWS($1:23)),))</f>
        <v/>
      </c>
      <c r="D36" s="741" t="str">
        <f ca="1">IF(ROWS($1:23)&gt;COUNT(Dong),"",OFFSET(TH!F$1,SMALL(Dong,ROWS($1:23)),))</f>
        <v/>
      </c>
      <c r="E36" s="742" t="str">
        <f ca="1">IF(ROWS($1:23)&gt;COUNT(Dong),"",IF(OFFSET(TH!L$1,SMALL(Dong,ROWS($1:23)),)="331",OFFSET(TH!M$1,SMALL(Dong,ROWS($1:23)),),OFFSET(TH!L$1,SMALL(Dong,ROWS($1:23)),)))</f>
        <v/>
      </c>
      <c r="F36" s="743" t="str">
        <f ca="1">IF(ROWS($1:23)&gt;COUNT(Dong),"",IF(OFFSET(TH!L$1,SMALL(Dong,ROWS($1:23)),)="331",OFFSET(TH!K$1,SMALL(Dong,ROWS($1:23)),),0))</f>
        <v/>
      </c>
      <c r="G36" s="743" t="str">
        <f ca="1">IF(ROWS($1:23)&gt;COUNT(Dong),"",IF(OFFSET(TH!M$1,SMALL(Dong,ROWS($1:23)),)="331",OFFSET(TH!K$1,SMALL(Dong,ROWS($1:23)),),0))</f>
        <v/>
      </c>
      <c r="H36" s="744">
        <f t="shared" ca="1" si="0"/>
        <v>0</v>
      </c>
      <c r="I36" s="744">
        <f t="shared" ca="1" si="1"/>
        <v>0</v>
      </c>
    </row>
    <row r="37" spans="1:9" s="3" customFormat="1" ht="18" customHeight="1">
      <c r="A37" s="740" t="str">
        <f ca="1">IF(ROWS($1:24)&gt;COUNT(Dong),"",OFFSET(TH!C$1,SMALL(Dong,ROWS($1:24)),))</f>
        <v/>
      </c>
      <c r="B37" s="740" t="str">
        <f ca="1">IF(ROWS($1:24)&gt;COUNT(Dong),"",OFFSET(TH!D$1,SMALL(Dong,ROWS($1:24)),))</f>
        <v/>
      </c>
      <c r="C37" s="740" t="str">
        <f ca="1">IF(ROWS($1:24)&gt;COUNT(Dong),"",OFFSET(TH!E$1,SMALL(Dong,ROWS($1:24)),))</f>
        <v/>
      </c>
      <c r="D37" s="741" t="str">
        <f ca="1">IF(ROWS($1:24)&gt;COUNT(Dong),"",OFFSET(TH!F$1,SMALL(Dong,ROWS($1:24)),))</f>
        <v/>
      </c>
      <c r="E37" s="742" t="str">
        <f ca="1">IF(ROWS($1:24)&gt;COUNT(Dong),"",IF(OFFSET(TH!L$1,SMALL(Dong,ROWS($1:24)),)="331",OFFSET(TH!M$1,SMALL(Dong,ROWS($1:24)),),OFFSET(TH!L$1,SMALL(Dong,ROWS($1:24)),)))</f>
        <v/>
      </c>
      <c r="F37" s="743" t="str">
        <f ca="1">IF(ROWS($1:24)&gt;COUNT(Dong),"",IF(OFFSET(TH!L$1,SMALL(Dong,ROWS($1:24)),)="331",OFFSET(TH!K$1,SMALL(Dong,ROWS($1:24)),),0))</f>
        <v/>
      </c>
      <c r="G37" s="743" t="str">
        <f ca="1">IF(ROWS($1:24)&gt;COUNT(Dong),"",IF(OFFSET(TH!M$1,SMALL(Dong,ROWS($1:24)),)="331",OFFSET(TH!K$1,SMALL(Dong,ROWS($1:24)),),0))</f>
        <v/>
      </c>
      <c r="H37" s="744">
        <f t="shared" ca="1" si="0"/>
        <v>0</v>
      </c>
      <c r="I37" s="744">
        <f t="shared" ca="1" si="1"/>
        <v>0</v>
      </c>
    </row>
    <row r="38" spans="1:9" s="3" customFormat="1" ht="18" customHeight="1">
      <c r="A38" s="740" t="str">
        <f ca="1">IF(ROWS($1:25)&gt;COUNT(Dong),"",OFFSET(TH!C$1,SMALL(Dong,ROWS($1:25)),))</f>
        <v/>
      </c>
      <c r="B38" s="740" t="str">
        <f ca="1">IF(ROWS($1:25)&gt;COUNT(Dong),"",OFFSET(TH!D$1,SMALL(Dong,ROWS($1:25)),))</f>
        <v/>
      </c>
      <c r="C38" s="740" t="str">
        <f ca="1">IF(ROWS($1:25)&gt;COUNT(Dong),"",OFFSET(TH!E$1,SMALL(Dong,ROWS($1:25)),))</f>
        <v/>
      </c>
      <c r="D38" s="741" t="str">
        <f ca="1">IF(ROWS($1:25)&gt;COUNT(Dong),"",OFFSET(TH!F$1,SMALL(Dong,ROWS($1:25)),))</f>
        <v/>
      </c>
      <c r="E38" s="742" t="str">
        <f ca="1">IF(ROWS($1:25)&gt;COUNT(Dong),"",IF(OFFSET(TH!L$1,SMALL(Dong,ROWS($1:25)),)="331",OFFSET(TH!M$1,SMALL(Dong,ROWS($1:25)),),OFFSET(TH!L$1,SMALL(Dong,ROWS($1:25)),)))</f>
        <v/>
      </c>
      <c r="F38" s="743" t="str">
        <f ca="1">IF(ROWS($1:25)&gt;COUNT(Dong),"",IF(OFFSET(TH!L$1,SMALL(Dong,ROWS($1:25)),)="331",OFFSET(TH!K$1,SMALL(Dong,ROWS($1:25)),),0))</f>
        <v/>
      </c>
      <c r="G38" s="743" t="str">
        <f ca="1">IF(ROWS($1:25)&gt;COUNT(Dong),"",IF(OFFSET(TH!M$1,SMALL(Dong,ROWS($1:25)),)="331",OFFSET(TH!K$1,SMALL(Dong,ROWS($1:25)),),0))</f>
        <v/>
      </c>
      <c r="H38" s="744">
        <f t="shared" ca="1" si="0"/>
        <v>0</v>
      </c>
      <c r="I38" s="744">
        <f t="shared" ca="1" si="1"/>
        <v>0</v>
      </c>
    </row>
    <row r="39" spans="1:9" s="3" customFormat="1" ht="18" customHeight="1">
      <c r="A39" s="740" t="str">
        <f ca="1">IF(ROWS($1:26)&gt;COUNT(Dong),"",OFFSET(TH!C$1,SMALL(Dong,ROWS($1:26)),))</f>
        <v/>
      </c>
      <c r="B39" s="740" t="str">
        <f ca="1">IF(ROWS($1:26)&gt;COUNT(Dong),"",OFFSET(TH!D$1,SMALL(Dong,ROWS($1:26)),))</f>
        <v/>
      </c>
      <c r="C39" s="740" t="str">
        <f ca="1">IF(ROWS($1:26)&gt;COUNT(Dong),"",OFFSET(TH!E$1,SMALL(Dong,ROWS($1:26)),))</f>
        <v/>
      </c>
      <c r="D39" s="741" t="str">
        <f ca="1">IF(ROWS($1:26)&gt;COUNT(Dong),"",OFFSET(TH!F$1,SMALL(Dong,ROWS($1:26)),))</f>
        <v/>
      </c>
      <c r="E39" s="742" t="str">
        <f ca="1">IF(ROWS($1:26)&gt;COUNT(Dong),"",IF(OFFSET(TH!L$1,SMALL(Dong,ROWS($1:26)),)="331",OFFSET(TH!M$1,SMALL(Dong,ROWS($1:26)),),OFFSET(TH!L$1,SMALL(Dong,ROWS($1:26)),)))</f>
        <v/>
      </c>
      <c r="F39" s="743" t="str">
        <f ca="1">IF(ROWS($1:26)&gt;COUNT(Dong),"",IF(OFFSET(TH!L$1,SMALL(Dong,ROWS($1:26)),)="331",OFFSET(TH!K$1,SMALL(Dong,ROWS($1:26)),),0))</f>
        <v/>
      </c>
      <c r="G39" s="743" t="str">
        <f ca="1">IF(ROWS($1:26)&gt;COUNT(Dong),"",IF(OFFSET(TH!M$1,SMALL(Dong,ROWS($1:26)),)="331",OFFSET(TH!K$1,SMALL(Dong,ROWS($1:26)),),0))</f>
        <v/>
      </c>
      <c r="H39" s="744">
        <f t="shared" ca="1" si="0"/>
        <v>0</v>
      </c>
      <c r="I39" s="744">
        <f t="shared" ca="1" si="1"/>
        <v>0</v>
      </c>
    </row>
    <row r="40" spans="1:9" s="3" customFormat="1" ht="18" customHeight="1">
      <c r="A40" s="740" t="str">
        <f ca="1">IF(ROWS($1:27)&gt;COUNT(Dong),"",OFFSET(TH!C$1,SMALL(Dong,ROWS($1:27)),))</f>
        <v/>
      </c>
      <c r="B40" s="740" t="str">
        <f ca="1">IF(ROWS($1:27)&gt;COUNT(Dong),"",OFFSET(TH!D$1,SMALL(Dong,ROWS($1:27)),))</f>
        <v/>
      </c>
      <c r="C40" s="740" t="str">
        <f ca="1">IF(ROWS($1:27)&gt;COUNT(Dong),"",OFFSET(TH!E$1,SMALL(Dong,ROWS($1:27)),))</f>
        <v/>
      </c>
      <c r="D40" s="741" t="str">
        <f ca="1">IF(ROWS($1:27)&gt;COUNT(Dong),"",OFFSET(TH!F$1,SMALL(Dong,ROWS($1:27)),))</f>
        <v/>
      </c>
      <c r="E40" s="742" t="str">
        <f ca="1">IF(ROWS($1:27)&gt;COUNT(Dong),"",IF(OFFSET(TH!L$1,SMALL(Dong,ROWS($1:27)),)="331",OFFSET(TH!M$1,SMALL(Dong,ROWS($1:27)),),OFFSET(TH!L$1,SMALL(Dong,ROWS($1:27)),)))</f>
        <v/>
      </c>
      <c r="F40" s="743" t="str">
        <f ca="1">IF(ROWS($1:27)&gt;COUNT(Dong),"",IF(OFFSET(TH!L$1,SMALL(Dong,ROWS($1:27)),)="331",OFFSET(TH!K$1,SMALL(Dong,ROWS($1:27)),),0))</f>
        <v/>
      </c>
      <c r="G40" s="743" t="str">
        <f ca="1">IF(ROWS($1:27)&gt;COUNT(Dong),"",IF(OFFSET(TH!M$1,SMALL(Dong,ROWS($1:27)),)="331",OFFSET(TH!K$1,SMALL(Dong,ROWS($1:27)),),0))</f>
        <v/>
      </c>
      <c r="H40" s="744">
        <f t="shared" ca="1" si="0"/>
        <v>0</v>
      </c>
      <c r="I40" s="744">
        <f t="shared" ca="1" si="1"/>
        <v>0</v>
      </c>
    </row>
    <row r="41" spans="1:9" s="3" customFormat="1" ht="18" customHeight="1">
      <c r="A41" s="740" t="str">
        <f ca="1">IF(ROWS($1:28)&gt;COUNT(Dong),"",OFFSET(TH!C$1,SMALL(Dong,ROWS($1:28)),))</f>
        <v/>
      </c>
      <c r="B41" s="740" t="str">
        <f ca="1">IF(ROWS($1:28)&gt;COUNT(Dong),"",OFFSET(TH!D$1,SMALL(Dong,ROWS($1:28)),))</f>
        <v/>
      </c>
      <c r="C41" s="740" t="str">
        <f ca="1">IF(ROWS($1:28)&gt;COUNT(Dong),"",OFFSET(TH!E$1,SMALL(Dong,ROWS($1:28)),))</f>
        <v/>
      </c>
      <c r="D41" s="741" t="str">
        <f ca="1">IF(ROWS($1:28)&gt;COUNT(Dong),"",OFFSET(TH!F$1,SMALL(Dong,ROWS($1:28)),))</f>
        <v/>
      </c>
      <c r="E41" s="742" t="str">
        <f ca="1">IF(ROWS($1:28)&gt;COUNT(Dong),"",IF(OFFSET(TH!L$1,SMALL(Dong,ROWS($1:28)),)="331",OFFSET(TH!M$1,SMALL(Dong,ROWS($1:28)),),OFFSET(TH!L$1,SMALL(Dong,ROWS($1:28)),)))</f>
        <v/>
      </c>
      <c r="F41" s="743" t="str">
        <f ca="1">IF(ROWS($1:28)&gt;COUNT(Dong),"",IF(OFFSET(TH!L$1,SMALL(Dong,ROWS($1:28)),)="331",OFFSET(TH!K$1,SMALL(Dong,ROWS($1:28)),),0))</f>
        <v/>
      </c>
      <c r="G41" s="743" t="str">
        <f ca="1">IF(ROWS($1:28)&gt;COUNT(Dong),"",IF(OFFSET(TH!M$1,SMALL(Dong,ROWS($1:28)),)="331",OFFSET(TH!K$1,SMALL(Dong,ROWS($1:28)),),0))</f>
        <v/>
      </c>
      <c r="H41" s="744">
        <f t="shared" ca="1" si="0"/>
        <v>0</v>
      </c>
      <c r="I41" s="744">
        <f t="shared" ca="1" si="1"/>
        <v>0</v>
      </c>
    </row>
    <row r="42" spans="1:9" s="3" customFormat="1" ht="18" customHeight="1">
      <c r="A42" s="740" t="str">
        <f ca="1">IF(ROWS($1:29)&gt;COUNT(Dong),"",OFFSET(TH!C$1,SMALL(Dong,ROWS($1:29)),))</f>
        <v/>
      </c>
      <c r="B42" s="740" t="str">
        <f ca="1">IF(ROWS($1:29)&gt;COUNT(Dong),"",OFFSET(TH!D$1,SMALL(Dong,ROWS($1:29)),))</f>
        <v/>
      </c>
      <c r="C42" s="740" t="str">
        <f ca="1">IF(ROWS($1:29)&gt;COUNT(Dong),"",OFFSET(TH!E$1,SMALL(Dong,ROWS($1:29)),))</f>
        <v/>
      </c>
      <c r="D42" s="741" t="str">
        <f ca="1">IF(ROWS($1:29)&gt;COUNT(Dong),"",OFFSET(TH!F$1,SMALL(Dong,ROWS($1:29)),))</f>
        <v/>
      </c>
      <c r="E42" s="742" t="str">
        <f ca="1">IF(ROWS($1:29)&gt;COUNT(Dong),"",IF(OFFSET(TH!L$1,SMALL(Dong,ROWS($1:29)),)="331",OFFSET(TH!M$1,SMALL(Dong,ROWS($1:29)),),OFFSET(TH!L$1,SMALL(Dong,ROWS($1:29)),)))</f>
        <v/>
      </c>
      <c r="F42" s="743" t="str">
        <f ca="1">IF(ROWS($1:29)&gt;COUNT(Dong),"",IF(OFFSET(TH!L$1,SMALL(Dong,ROWS($1:29)),)="331",OFFSET(TH!K$1,SMALL(Dong,ROWS($1:29)),),0))</f>
        <v/>
      </c>
      <c r="G42" s="743" t="str">
        <f ca="1">IF(ROWS($1:29)&gt;COUNT(Dong),"",IF(OFFSET(TH!M$1,SMALL(Dong,ROWS($1:29)),)="331",OFFSET(TH!K$1,SMALL(Dong,ROWS($1:29)),),0))</f>
        <v/>
      </c>
      <c r="H42" s="744">
        <f t="shared" ca="1" si="0"/>
        <v>0</v>
      </c>
      <c r="I42" s="744">
        <f t="shared" ca="1" si="1"/>
        <v>0</v>
      </c>
    </row>
    <row r="43" spans="1:9" s="3" customFormat="1" ht="18" customHeight="1">
      <c r="A43" s="740" t="str">
        <f ca="1">IF(ROWS($1:30)&gt;COUNT(Dong),"",OFFSET(TH!C$1,SMALL(Dong,ROWS($1:30)),))</f>
        <v/>
      </c>
      <c r="B43" s="740" t="str">
        <f ca="1">IF(ROWS($1:30)&gt;COUNT(Dong),"",OFFSET(TH!D$1,SMALL(Dong,ROWS($1:30)),))</f>
        <v/>
      </c>
      <c r="C43" s="740" t="str">
        <f ca="1">IF(ROWS($1:30)&gt;COUNT(Dong),"",OFFSET(TH!E$1,SMALL(Dong,ROWS($1:30)),))</f>
        <v/>
      </c>
      <c r="D43" s="741" t="str">
        <f ca="1">IF(ROWS($1:30)&gt;COUNT(Dong),"",OFFSET(TH!F$1,SMALL(Dong,ROWS($1:30)),))</f>
        <v/>
      </c>
      <c r="E43" s="742" t="str">
        <f ca="1">IF(ROWS($1:30)&gt;COUNT(Dong),"",IF(OFFSET(TH!L$1,SMALL(Dong,ROWS($1:30)),)="331",OFFSET(TH!M$1,SMALL(Dong,ROWS($1:30)),),OFFSET(TH!L$1,SMALL(Dong,ROWS($1:30)),)))</f>
        <v/>
      </c>
      <c r="F43" s="743" t="str">
        <f ca="1">IF(ROWS($1:30)&gt;COUNT(Dong),"",IF(OFFSET(TH!L$1,SMALL(Dong,ROWS($1:30)),)="331",OFFSET(TH!K$1,SMALL(Dong,ROWS($1:30)),),0))</f>
        <v/>
      </c>
      <c r="G43" s="743" t="str">
        <f ca="1">IF(ROWS($1:30)&gt;COUNT(Dong),"",IF(OFFSET(TH!M$1,SMALL(Dong,ROWS($1:30)),)="331",OFFSET(TH!K$1,SMALL(Dong,ROWS($1:30)),),0))</f>
        <v/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 t="str">
        <f ca="1">IF(ROWS($1:31)&gt;COUNT(Dong),"",OFFSET(TH!C$1,SMALL(Dong,ROWS($1:31)),))</f>
        <v/>
      </c>
      <c r="B44" s="740" t="str">
        <f ca="1">IF(ROWS($1:31)&gt;COUNT(Dong),"",OFFSET(TH!D$1,SMALL(Dong,ROWS($1:31)),))</f>
        <v/>
      </c>
      <c r="C44" s="740" t="str">
        <f ca="1">IF(ROWS($1:31)&gt;COUNT(Dong),"",OFFSET(TH!E$1,SMALL(Dong,ROWS($1:31)),))</f>
        <v/>
      </c>
      <c r="D44" s="741" t="str">
        <f ca="1">IF(ROWS($1:31)&gt;COUNT(Dong),"",OFFSET(TH!F$1,SMALL(Dong,ROWS($1:31)),))</f>
        <v/>
      </c>
      <c r="E44" s="742" t="str">
        <f ca="1">IF(ROWS($1:31)&gt;COUNT(Dong),"",IF(OFFSET(TH!L$1,SMALL(Dong,ROWS($1:31)),)="331",OFFSET(TH!M$1,SMALL(Dong,ROWS($1:31)),),OFFSET(TH!L$1,SMALL(Dong,ROWS($1:31)),)))</f>
        <v/>
      </c>
      <c r="F44" s="743" t="str">
        <f ca="1">IF(ROWS($1:31)&gt;COUNT(Dong),"",IF(OFFSET(TH!L$1,SMALL(Dong,ROWS($1:31)),)="331",OFFSET(TH!K$1,SMALL(Dong,ROWS($1:31)),),0))</f>
        <v/>
      </c>
      <c r="G44" s="743" t="str">
        <f ca="1">IF(ROWS($1:31)&gt;COUNT(Dong),"",IF(OFFSET(TH!M$1,SMALL(Dong,ROWS($1:31)),)="331",OFFSET(TH!K$1,SMALL(Dong,ROWS($1:31)),),0))</f>
        <v/>
      </c>
      <c r="H44" s="744">
        <f t="shared" ca="1" si="0"/>
        <v>0</v>
      </c>
      <c r="I44" s="744">
        <f t="shared" ca="1" si="1"/>
        <v>0</v>
      </c>
    </row>
    <row r="45" spans="1:9" s="3" customFormat="1" ht="18" customHeight="1">
      <c r="A45" s="740" t="str">
        <f ca="1">IF(ROWS($1:32)&gt;COUNT(Dong),"",OFFSET(TH!C$1,SMALL(Dong,ROWS($1:32)),))</f>
        <v/>
      </c>
      <c r="B45" s="740" t="str">
        <f ca="1">IF(ROWS($1:32)&gt;COUNT(Dong),"",OFFSET(TH!D$1,SMALL(Dong,ROWS($1:32)),))</f>
        <v/>
      </c>
      <c r="C45" s="740" t="str">
        <f ca="1">IF(ROWS($1:32)&gt;COUNT(Dong),"",OFFSET(TH!E$1,SMALL(Dong,ROWS($1:32)),))</f>
        <v/>
      </c>
      <c r="D45" s="741" t="str">
        <f ca="1">IF(ROWS($1:32)&gt;COUNT(Dong),"",OFFSET(TH!F$1,SMALL(Dong,ROWS($1:32)),))</f>
        <v/>
      </c>
      <c r="E45" s="742" t="str">
        <f ca="1">IF(ROWS($1:32)&gt;COUNT(Dong),"",IF(OFFSET(TH!L$1,SMALL(Dong,ROWS($1:32)),)="331",OFFSET(TH!M$1,SMALL(Dong,ROWS($1:32)),),OFFSET(TH!L$1,SMALL(Dong,ROWS($1:32)),)))</f>
        <v/>
      </c>
      <c r="F45" s="743" t="str">
        <f ca="1">IF(ROWS($1:32)&gt;COUNT(Dong),"",IF(OFFSET(TH!L$1,SMALL(Dong,ROWS($1:32)),)="331",OFFSET(TH!K$1,SMALL(Dong,ROWS($1:32)),),0))</f>
        <v/>
      </c>
      <c r="G45" s="743" t="str">
        <f ca="1">IF(ROWS($1:32)&gt;COUNT(Dong),"",IF(OFFSET(TH!M$1,SMALL(Dong,ROWS($1:32)),)="331",OFFSET(TH!K$1,SMALL(Dong,ROWS($1:32)),),0))</f>
        <v/>
      </c>
      <c r="H45" s="744">
        <f t="shared" ca="1" si="0"/>
        <v>0</v>
      </c>
      <c r="I45" s="744">
        <f t="shared" ca="1" si="1"/>
        <v>0</v>
      </c>
    </row>
    <row r="46" spans="1:9" s="3" customFormat="1" ht="18" customHeight="1">
      <c r="A46" s="740" t="str">
        <f ca="1">IF(ROWS($1:33)&gt;COUNT(Dong),"",OFFSET(TH!C$1,SMALL(Dong,ROWS($1:33)),))</f>
        <v/>
      </c>
      <c r="B46" s="740" t="str">
        <f ca="1">IF(ROWS($1:33)&gt;COUNT(Dong),"",OFFSET(TH!D$1,SMALL(Dong,ROWS($1:33)),))</f>
        <v/>
      </c>
      <c r="C46" s="740" t="str">
        <f ca="1">IF(ROWS($1:33)&gt;COUNT(Dong),"",OFFSET(TH!E$1,SMALL(Dong,ROWS($1:33)),))</f>
        <v/>
      </c>
      <c r="D46" s="741" t="str">
        <f ca="1">IF(ROWS($1:33)&gt;COUNT(Dong),"",OFFSET(TH!F$1,SMALL(Dong,ROWS($1:33)),))</f>
        <v/>
      </c>
      <c r="E46" s="742" t="str">
        <f ca="1">IF(ROWS($1:33)&gt;COUNT(Dong),"",IF(OFFSET(TH!L$1,SMALL(Dong,ROWS($1:33)),)="331",OFFSET(TH!M$1,SMALL(Dong,ROWS($1:33)),),OFFSET(TH!L$1,SMALL(Dong,ROWS($1:33)),)))</f>
        <v/>
      </c>
      <c r="F46" s="743" t="str">
        <f ca="1">IF(ROWS($1:33)&gt;COUNT(Dong),"",IF(OFFSET(TH!L$1,SMALL(Dong,ROWS($1:33)),)="331",OFFSET(TH!K$1,SMALL(Dong,ROWS($1:33)),),0))</f>
        <v/>
      </c>
      <c r="G46" s="743" t="str">
        <f ca="1">IF(ROWS($1:33)&gt;COUNT(Dong),"",IF(OFFSET(TH!M$1,SMALL(Dong,ROWS($1:33)),)="331",OFFSET(TH!K$1,SMALL(Dong,ROWS($1:33)),),0))</f>
        <v/>
      </c>
      <c r="H46" s="744">
        <f t="shared" ca="1" si="0"/>
        <v>0</v>
      </c>
      <c r="I46" s="744">
        <f t="shared" ca="1" si="1"/>
        <v>0</v>
      </c>
    </row>
    <row r="47" spans="1:9" s="3" customFormat="1" ht="18" customHeight="1">
      <c r="A47" s="740" t="str">
        <f ca="1">IF(ROWS($1:34)&gt;COUNT(Dong),"",OFFSET(TH!C$1,SMALL(Dong,ROWS($1:34)),))</f>
        <v/>
      </c>
      <c r="B47" s="740" t="str">
        <f ca="1">IF(ROWS($1:34)&gt;COUNT(Dong),"",OFFSET(TH!D$1,SMALL(Dong,ROWS($1:34)),))</f>
        <v/>
      </c>
      <c r="C47" s="740" t="str">
        <f ca="1">IF(ROWS($1:34)&gt;COUNT(Dong),"",OFFSET(TH!E$1,SMALL(Dong,ROWS($1:34)),))</f>
        <v/>
      </c>
      <c r="D47" s="741" t="str">
        <f ca="1">IF(ROWS($1:34)&gt;COUNT(Dong),"",OFFSET(TH!F$1,SMALL(Dong,ROWS($1:34)),))</f>
        <v/>
      </c>
      <c r="E47" s="742" t="str">
        <f ca="1">IF(ROWS($1:34)&gt;COUNT(Dong),"",IF(OFFSET(TH!L$1,SMALL(Dong,ROWS($1:34)),)="331",OFFSET(TH!M$1,SMALL(Dong,ROWS($1:34)),),OFFSET(TH!L$1,SMALL(Dong,ROWS($1:34)),)))</f>
        <v/>
      </c>
      <c r="F47" s="743" t="str">
        <f ca="1">IF(ROWS($1:34)&gt;COUNT(Dong),"",IF(OFFSET(TH!L$1,SMALL(Dong,ROWS($1:34)),)="331",OFFSET(TH!K$1,SMALL(Dong,ROWS($1:34)),),0))</f>
        <v/>
      </c>
      <c r="G47" s="743" t="str">
        <f ca="1">IF(ROWS($1:34)&gt;COUNT(Dong),"",IF(OFFSET(TH!M$1,SMALL(Dong,ROWS($1:34)),)="331",OFFSET(TH!K$1,SMALL(Dong,ROWS($1:34)),),0))</f>
        <v/>
      </c>
      <c r="H47" s="744">
        <f t="shared" ca="1" si="0"/>
        <v>0</v>
      </c>
      <c r="I47" s="744">
        <f t="shared" ca="1" si="1"/>
        <v>0</v>
      </c>
    </row>
    <row r="48" spans="1:9" s="3" customFormat="1" ht="18" customHeight="1">
      <c r="A48" s="740" t="str">
        <f ca="1">IF(ROWS($1:35)&gt;COUNT(Dong),"",OFFSET(TH!C$1,SMALL(Dong,ROWS($1:35)),))</f>
        <v/>
      </c>
      <c r="B48" s="740" t="str">
        <f ca="1">IF(ROWS($1:35)&gt;COUNT(Dong),"",OFFSET(TH!D$1,SMALL(Dong,ROWS($1:35)),))</f>
        <v/>
      </c>
      <c r="C48" s="740" t="str">
        <f ca="1">IF(ROWS($1:35)&gt;COUNT(Dong),"",OFFSET(TH!E$1,SMALL(Dong,ROWS($1:35)),))</f>
        <v/>
      </c>
      <c r="D48" s="741" t="str">
        <f ca="1">IF(ROWS($1:35)&gt;COUNT(Dong),"",OFFSET(TH!F$1,SMALL(Dong,ROWS($1:35)),))</f>
        <v/>
      </c>
      <c r="E48" s="742" t="str">
        <f ca="1">IF(ROWS($1:35)&gt;COUNT(Dong),"",IF(OFFSET(TH!L$1,SMALL(Dong,ROWS($1:35)),)="331",OFFSET(TH!M$1,SMALL(Dong,ROWS($1:35)),),OFFSET(TH!L$1,SMALL(Dong,ROWS($1:35)),)))</f>
        <v/>
      </c>
      <c r="F48" s="743" t="str">
        <f ca="1">IF(ROWS($1:35)&gt;COUNT(Dong),"",IF(OFFSET(TH!L$1,SMALL(Dong,ROWS($1:35)),)="331",OFFSET(TH!K$1,SMALL(Dong,ROWS($1:35)),),0))</f>
        <v/>
      </c>
      <c r="G48" s="743" t="str">
        <f ca="1">IF(ROWS($1:35)&gt;COUNT(Dong),"",IF(OFFSET(TH!M$1,SMALL(Dong,ROWS($1:35)),)="331",OFFSET(TH!K$1,SMALL(Dong,ROWS($1:35)),),0))</f>
        <v/>
      </c>
      <c r="H48" s="744">
        <f t="shared" ca="1" si="0"/>
        <v>0</v>
      </c>
      <c r="I48" s="744">
        <f t="shared" ca="1" si="1"/>
        <v>0</v>
      </c>
    </row>
    <row r="49" spans="1:10" s="3" customFormat="1" ht="18" customHeight="1">
      <c r="A49" s="740" t="str">
        <f ca="1">IF(ROWS($1:36)&gt;COUNT(Dong),"",OFFSET(TH!C$1,SMALL(Dong,ROWS($1:36)),))</f>
        <v/>
      </c>
      <c r="B49" s="740" t="str">
        <f ca="1">IF(ROWS($1:36)&gt;COUNT(Dong),"",OFFSET(TH!D$1,SMALL(Dong,ROWS($1:36)),))</f>
        <v/>
      </c>
      <c r="C49" s="740" t="str">
        <f ca="1">IF(ROWS($1:36)&gt;COUNT(Dong),"",OFFSET(TH!E$1,SMALL(Dong,ROWS($1:36)),))</f>
        <v/>
      </c>
      <c r="D49" s="741" t="str">
        <f ca="1">IF(ROWS($1:36)&gt;COUNT(Dong),"",OFFSET(TH!F$1,SMALL(Dong,ROWS($1:36)),))</f>
        <v/>
      </c>
      <c r="E49" s="742" t="str">
        <f ca="1">IF(ROWS($1:36)&gt;COUNT(Dong),"",IF(OFFSET(TH!L$1,SMALL(Dong,ROWS($1:36)),)="331",OFFSET(TH!M$1,SMALL(Dong,ROWS($1:36)),),OFFSET(TH!L$1,SMALL(Dong,ROWS($1:36)),)))</f>
        <v/>
      </c>
      <c r="F49" s="743" t="str">
        <f ca="1">IF(ROWS($1:36)&gt;COUNT(Dong),"",IF(OFFSET(TH!L$1,SMALL(Dong,ROWS($1:36)),)="331",OFFSET(TH!K$1,SMALL(Dong,ROWS($1:36)),),0))</f>
        <v/>
      </c>
      <c r="G49" s="743" t="str">
        <f ca="1">IF(ROWS($1:36)&gt;COUNT(Dong),"",IF(OFFSET(TH!M$1,SMALL(Dong,ROWS($1:36)),)="331",OFFSET(TH!K$1,SMALL(Dong,ROWS($1:36)),),0))</f>
        <v/>
      </c>
      <c r="H49" s="744">
        <f t="shared" ca="1" si="0"/>
        <v>0</v>
      </c>
      <c r="I49" s="744">
        <f t="shared" ca="1" si="1"/>
        <v>0</v>
      </c>
    </row>
    <row r="50" spans="1:10" s="3" customFormat="1" ht="18" customHeight="1">
      <c r="A50" s="740"/>
      <c r="B50" s="740"/>
      <c r="C50" s="740"/>
      <c r="D50" s="741"/>
      <c r="E50" s="742"/>
      <c r="F50" s="743"/>
      <c r="G50" s="743"/>
      <c r="H50" s="744"/>
      <c r="I50" s="744"/>
    </row>
    <row r="51" spans="1:10" s="3" customFormat="1" ht="18" customHeight="1">
      <c r="A51" s="739"/>
      <c r="B51" s="657"/>
      <c r="C51" s="745"/>
      <c r="D51" s="738" t="s">
        <v>32</v>
      </c>
      <c r="E51" s="657" t="s">
        <v>19</v>
      </c>
      <c r="F51" s="746">
        <f ca="1">SUM(F14:F50)</f>
        <v>244200000</v>
      </c>
      <c r="G51" s="746">
        <f ca="1">SUM(G14:G50)</f>
        <v>244200000</v>
      </c>
      <c r="H51" s="746" t="s">
        <v>19</v>
      </c>
      <c r="I51" s="746" t="s">
        <v>19</v>
      </c>
    </row>
    <row r="52" spans="1:10" s="3" customFormat="1" ht="18" customHeight="1">
      <c r="A52" s="739"/>
      <c r="B52" s="657"/>
      <c r="C52" s="657"/>
      <c r="D52" s="738" t="s">
        <v>10</v>
      </c>
      <c r="E52" s="657" t="s">
        <v>19</v>
      </c>
      <c r="F52" s="746" t="s">
        <v>19</v>
      </c>
      <c r="G52" s="746" t="s">
        <v>19</v>
      </c>
      <c r="H52" s="746">
        <f ca="1">MAX(H13+F51-G51-I13,0)</f>
        <v>0</v>
      </c>
      <c r="I52" s="746">
        <f ca="1">MAX(I13+G51-F51-H13,0)</f>
        <v>0</v>
      </c>
    </row>
    <row r="53" spans="1:10" s="3" customFormat="1" ht="6" customHeight="1">
      <c r="B53" s="641"/>
      <c r="C53" s="641"/>
      <c r="E53" s="641"/>
    </row>
    <row r="54" spans="1:10" s="3" customFormat="1" ht="14.25" customHeight="1">
      <c r="A54" s="747" t="s">
        <v>146</v>
      </c>
      <c r="B54" s="641"/>
      <c r="C54" s="641"/>
      <c r="E54" s="641"/>
      <c r="J54" s="747" t="s">
        <v>146</v>
      </c>
    </row>
    <row r="55" spans="1:10" s="3" customFormat="1" ht="14.25" customHeight="1">
      <c r="A55" s="747" t="str">
        <f ca="1">"- Ngày mở sổ: "&amp;DAY($A$14)&amp;"/"&amp;MONTH($A$14)&amp;"/ " &amp;YEAR($A$14)</f>
        <v>- Ngày mở sổ: 8/7/ 2016</v>
      </c>
      <c r="B55" s="641"/>
      <c r="C55" s="641"/>
      <c r="E55" s="641"/>
      <c r="J55" s="747" t="s">
        <v>33</v>
      </c>
    </row>
    <row r="56" spans="1:10" s="3" customFormat="1" ht="14.25" customHeight="1">
      <c r="B56" s="641"/>
      <c r="C56" s="641"/>
      <c r="E56" s="836" t="str">
        <f ca="1">"Ngày 31 tháng  12  năm  "&amp;YEAR($A$14)</f>
        <v>Ngày 31 tháng  12  năm  2016</v>
      </c>
      <c r="F56" s="836"/>
      <c r="G56" s="836"/>
      <c r="H56" s="836"/>
      <c r="I56" s="836"/>
    </row>
    <row r="57" spans="1:10" s="3" customFormat="1" ht="14.25" customHeight="1">
      <c r="C57" s="641" t="s">
        <v>11</v>
      </c>
      <c r="E57" s="836" t="s">
        <v>12</v>
      </c>
      <c r="F57" s="836"/>
      <c r="G57" s="836"/>
      <c r="H57" s="836"/>
      <c r="I57" s="836"/>
    </row>
    <row r="58" spans="1:10" s="3" customFormat="1" ht="14.25" customHeight="1">
      <c r="C58" s="641" t="s">
        <v>13</v>
      </c>
      <c r="E58" s="836" t="s">
        <v>13</v>
      </c>
      <c r="F58" s="836"/>
      <c r="G58" s="836"/>
      <c r="H58" s="836"/>
      <c r="I58" s="836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80" t="str">
        <f>TH!$A$1</f>
        <v>Đơn vị: CÔNG TY TNHH BAO BÌ GIẤY KIM DUNG PHÁT</v>
      </c>
      <c r="C2" s="141"/>
      <c r="F2" s="643"/>
      <c r="G2" s="643"/>
      <c r="H2" s="643"/>
      <c r="I2" s="643"/>
      <c r="J2" s="882" t="s">
        <v>172</v>
      </c>
      <c r="K2" s="882"/>
      <c r="L2" s="882"/>
      <c r="M2" s="882"/>
      <c r="N2" s="643"/>
    </row>
    <row r="3" spans="1:14">
      <c r="A3" s="407" t="str">
        <f>TH!$A$2</f>
        <v>Địa chỉ: Ấp Rừng Sến, xã Mỹ Hạnh Bắc, Huyện Đức Hòa, Tỉnh Long An, Việt Nam</v>
      </c>
      <c r="C3" s="141"/>
      <c r="F3" s="642"/>
      <c r="G3" s="642"/>
      <c r="H3" s="642"/>
      <c r="I3" s="642"/>
      <c r="J3" s="88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81"/>
      <c r="L3" s="881"/>
      <c r="M3" s="881"/>
      <c r="N3" s="642"/>
    </row>
    <row r="4" spans="1:14">
      <c r="F4" s="642"/>
      <c r="G4" s="642"/>
      <c r="H4" s="642"/>
      <c r="I4" s="642"/>
      <c r="J4" s="881"/>
      <c r="K4" s="881"/>
      <c r="L4" s="881"/>
      <c r="M4" s="881"/>
      <c r="N4" s="642"/>
    </row>
    <row r="5" spans="1:14" ht="23.25" customHeight="1">
      <c r="A5" s="891" t="s">
        <v>173</v>
      </c>
      <c r="B5" s="891"/>
      <c r="C5" s="891"/>
      <c r="D5" s="891"/>
      <c r="E5" s="891"/>
      <c r="F5" s="891"/>
      <c r="G5" s="891"/>
      <c r="H5" s="891"/>
      <c r="I5" s="891"/>
      <c r="J5" s="891"/>
      <c r="K5" s="891"/>
      <c r="L5" s="891"/>
      <c r="M5" s="891"/>
      <c r="N5" s="891"/>
    </row>
    <row r="6" spans="1:14">
      <c r="A6" s="882" t="s">
        <v>205</v>
      </c>
      <c r="B6" s="882" t="s">
        <v>174</v>
      </c>
      <c r="C6" s="882"/>
      <c r="D6" s="882"/>
      <c r="E6" s="882"/>
      <c r="F6" s="882"/>
      <c r="G6" s="882"/>
      <c r="H6" s="882"/>
      <c r="I6" s="882"/>
      <c r="J6" s="882"/>
      <c r="K6" s="882"/>
      <c r="L6" s="882"/>
      <c r="M6" s="882"/>
      <c r="N6" s="882"/>
    </row>
    <row r="7" spans="1:14">
      <c r="C7" s="892"/>
      <c r="D7" s="892"/>
      <c r="E7" s="892"/>
      <c r="F7" s="892"/>
      <c r="G7" s="892"/>
      <c r="H7" s="892"/>
      <c r="I7" s="892"/>
      <c r="J7" s="892"/>
      <c r="K7" s="892"/>
      <c r="L7" s="892"/>
      <c r="M7" s="892"/>
      <c r="N7" s="892"/>
    </row>
    <row r="8" spans="1:14" ht="15.75" customHeight="1">
      <c r="A8" s="885" t="s">
        <v>20</v>
      </c>
      <c r="B8" s="893" t="s">
        <v>1</v>
      </c>
      <c r="C8" s="894"/>
      <c r="D8" s="885" t="s">
        <v>0</v>
      </c>
      <c r="E8" s="885" t="s">
        <v>14</v>
      </c>
      <c r="F8" s="884" t="s">
        <v>21</v>
      </c>
      <c r="G8" s="884"/>
      <c r="H8" s="884"/>
      <c r="I8" s="884"/>
      <c r="J8" s="884"/>
      <c r="K8" s="884"/>
      <c r="L8" s="884" t="s">
        <v>30</v>
      </c>
      <c r="M8" s="884"/>
      <c r="N8" s="884"/>
    </row>
    <row r="9" spans="1:14" ht="15.75" customHeight="1">
      <c r="A9" s="885"/>
      <c r="B9" s="895"/>
      <c r="C9" s="896"/>
      <c r="D9" s="885"/>
      <c r="E9" s="885"/>
      <c r="F9" s="884" t="s">
        <v>175</v>
      </c>
      <c r="G9" s="884"/>
      <c r="H9" s="884"/>
      <c r="I9" s="884" t="s">
        <v>176</v>
      </c>
      <c r="J9" s="884"/>
      <c r="K9" s="884"/>
      <c r="L9" s="885" t="s">
        <v>177</v>
      </c>
      <c r="M9" s="885" t="s">
        <v>178</v>
      </c>
      <c r="N9" s="885" t="s">
        <v>179</v>
      </c>
    </row>
    <row r="10" spans="1:14" ht="15.75" customHeight="1">
      <c r="A10" s="885"/>
      <c r="B10" s="887" t="s">
        <v>15</v>
      </c>
      <c r="C10" s="887" t="s">
        <v>31</v>
      </c>
      <c r="D10" s="885"/>
      <c r="E10" s="885"/>
      <c r="F10" s="889" t="s">
        <v>177</v>
      </c>
      <c r="G10" s="889" t="s">
        <v>178</v>
      </c>
      <c r="H10" s="889" t="s">
        <v>179</v>
      </c>
      <c r="I10" s="889" t="s">
        <v>177</v>
      </c>
      <c r="J10" s="889" t="s">
        <v>178</v>
      </c>
      <c r="K10" s="889" t="s">
        <v>179</v>
      </c>
      <c r="L10" s="886"/>
      <c r="M10" s="886"/>
      <c r="N10" s="886"/>
    </row>
    <row r="11" spans="1:14">
      <c r="A11" s="885"/>
      <c r="B11" s="888"/>
      <c r="C11" s="888"/>
      <c r="D11" s="885"/>
      <c r="E11" s="885"/>
      <c r="F11" s="890"/>
      <c r="G11" s="890"/>
      <c r="H11" s="890"/>
      <c r="I11" s="890"/>
      <c r="J11" s="890"/>
      <c r="K11" s="890"/>
      <c r="L11" s="886"/>
      <c r="M11" s="886"/>
      <c r="N11" s="886"/>
    </row>
    <row r="12" spans="1:14" s="642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52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522">
        <f>C14</f>
        <v>42516</v>
      </c>
      <c r="B14" s="449" t="s">
        <v>343</v>
      </c>
      <c r="C14" s="522">
        <v>42516</v>
      </c>
      <c r="D14" s="147" t="s">
        <v>357</v>
      </c>
      <c r="E14" s="449" t="s">
        <v>46</v>
      </c>
      <c r="F14" s="147"/>
      <c r="G14" s="147"/>
      <c r="H14" s="147"/>
      <c r="I14" s="195">
        <v>1800000000</v>
      </c>
      <c r="J14" s="147"/>
      <c r="K14" s="147"/>
      <c r="L14" s="451">
        <f>L13+I14-G14</f>
        <v>1800000000</v>
      </c>
      <c r="M14" s="147"/>
      <c r="N14" s="147"/>
    </row>
    <row r="15" spans="1:14">
      <c r="A15" s="449"/>
      <c r="B15" s="147"/>
      <c r="C15" s="44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49"/>
      <c r="B16" s="147"/>
      <c r="C16" s="449"/>
      <c r="D16" s="149" t="s">
        <v>128</v>
      </c>
      <c r="E16" s="304" t="s">
        <v>19</v>
      </c>
      <c r="F16" s="150"/>
      <c r="G16" s="150"/>
      <c r="H16" s="150"/>
      <c r="I16" s="450">
        <f>SUM(I13:I15)</f>
        <v>1800000000</v>
      </c>
      <c r="J16" s="150"/>
      <c r="K16" s="150"/>
      <c r="L16" s="45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305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180</v>
      </c>
    </row>
    <row r="20" spans="1:14">
      <c r="C20" s="675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83" t="str">
        <f>"Ngày 31 tháng  12  năm  "&amp;YEAR($A$14)</f>
        <v>Ngày 31 tháng  12  năm  2016</v>
      </c>
      <c r="F21" s="883"/>
      <c r="G21" s="883"/>
      <c r="H21" s="883"/>
      <c r="I21" s="883"/>
      <c r="J21" s="883"/>
      <c r="K21" s="883"/>
      <c r="L21" s="883"/>
      <c r="M21" s="883"/>
      <c r="N21" s="883"/>
    </row>
    <row r="22" spans="1:14">
      <c r="A22" s="883" t="s">
        <v>11</v>
      </c>
      <c r="B22" s="883"/>
      <c r="C22" s="883"/>
      <c r="D22" s="883"/>
      <c r="E22" s="883" t="s">
        <v>12</v>
      </c>
      <c r="F22" s="883"/>
      <c r="G22" s="883"/>
      <c r="H22" s="883"/>
      <c r="I22" s="883"/>
      <c r="J22" s="883"/>
      <c r="K22" s="883"/>
      <c r="L22" s="883"/>
      <c r="M22" s="883"/>
      <c r="N22" s="883"/>
    </row>
    <row r="23" spans="1:14">
      <c r="A23" s="883" t="s">
        <v>13</v>
      </c>
      <c r="B23" s="883"/>
      <c r="C23" s="883"/>
      <c r="D23" s="883"/>
      <c r="E23" s="883" t="s">
        <v>13</v>
      </c>
      <c r="F23" s="883"/>
      <c r="G23" s="883"/>
      <c r="H23" s="883"/>
      <c r="I23" s="883"/>
      <c r="J23" s="883"/>
      <c r="K23" s="883"/>
      <c r="L23" s="883"/>
      <c r="M23" s="883"/>
      <c r="N23" s="883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65" activePane="bottomLeft" state="frozen"/>
      <selection activeCell="B6" sqref="B6"/>
      <selection pane="bottomLeft" activeCell="J187" sqref="J187:L187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93" customFormat="1" ht="14.25" customHeight="1">
      <c r="B1" s="380" t="str">
        <f>TH!$A$1</f>
        <v>Đơn vị: CÔNG TY TNHH BAO BÌ GIẤY KIM DUNG PHÁT</v>
      </c>
      <c r="C1" s="156"/>
      <c r="D1" s="156"/>
      <c r="E1" s="156"/>
      <c r="F1" s="157"/>
      <c r="G1" s="157"/>
      <c r="H1" s="839" t="s">
        <v>181</v>
      </c>
      <c r="I1" s="839"/>
      <c r="J1" s="839"/>
      <c r="K1" s="839"/>
      <c r="L1" s="839"/>
    </row>
    <row r="2" spans="1:12" s="293" customFormat="1" ht="14.25" customHeight="1">
      <c r="B2" s="899" t="str">
        <f>TH!$A$2</f>
        <v>Địa chỉ: Ấp Rừng Sến, xã Mỹ Hạnh Bắc, Huyện Đức Hòa, Tỉnh Long An, Việt Nam</v>
      </c>
      <c r="C2" s="899"/>
      <c r="D2" s="899"/>
      <c r="E2" s="899"/>
      <c r="F2" s="899"/>
      <c r="G2" s="899"/>
      <c r="H2" s="840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40"/>
      <c r="J2" s="840"/>
      <c r="K2" s="840"/>
      <c r="L2" s="840"/>
    </row>
    <row r="3" spans="1:12" s="293" customFormat="1" ht="14.25" customHeight="1">
      <c r="B3" s="899"/>
      <c r="C3" s="899"/>
      <c r="D3" s="899"/>
      <c r="E3" s="899"/>
      <c r="F3" s="899"/>
      <c r="G3" s="899"/>
      <c r="H3" s="840"/>
      <c r="I3" s="840"/>
      <c r="J3" s="840"/>
      <c r="K3" s="840"/>
      <c r="L3" s="840"/>
    </row>
    <row r="4" spans="1:12" s="158" customFormat="1" ht="49.5" customHeight="1">
      <c r="B4" s="897" t="s">
        <v>182</v>
      </c>
      <c r="C4" s="897"/>
      <c r="D4" s="897"/>
      <c r="E4" s="897"/>
      <c r="F4" s="897"/>
      <c r="G4" s="897"/>
      <c r="H4" s="897"/>
      <c r="I4" s="897"/>
      <c r="J4" s="897"/>
      <c r="K4" s="897"/>
      <c r="L4" s="897"/>
    </row>
    <row r="5" spans="1:12" s="158" customFormat="1" ht="15" customHeight="1">
      <c r="B5" s="898" t="s">
        <v>183</v>
      </c>
      <c r="C5" s="898"/>
      <c r="D5" s="898"/>
      <c r="E5" s="898"/>
      <c r="F5" s="898"/>
      <c r="G5" s="898"/>
      <c r="H5" s="898"/>
      <c r="I5" s="898"/>
      <c r="J5" s="898"/>
      <c r="K5" s="898"/>
      <c r="L5" s="898"/>
    </row>
    <row r="6" spans="1:12" s="751" customFormat="1" ht="20.25" customHeight="1">
      <c r="B6" s="900" t="s">
        <v>34</v>
      </c>
      <c r="C6" s="901" t="s">
        <v>184</v>
      </c>
      <c r="D6" s="901" t="s">
        <v>185</v>
      </c>
      <c r="E6" s="902" t="s">
        <v>186</v>
      </c>
      <c r="F6" s="902"/>
      <c r="G6" s="903" t="s">
        <v>187</v>
      </c>
      <c r="H6" s="903"/>
      <c r="I6" s="903" t="s">
        <v>188</v>
      </c>
      <c r="J6" s="903"/>
      <c r="K6" s="903" t="s">
        <v>189</v>
      </c>
      <c r="L6" s="903"/>
    </row>
    <row r="7" spans="1:12" s="751" customFormat="1" ht="20.25" customHeight="1">
      <c r="B7" s="900"/>
      <c r="C7" s="901"/>
      <c r="D7" s="901"/>
      <c r="E7" s="753" t="s">
        <v>190</v>
      </c>
      <c r="F7" s="753" t="s">
        <v>191</v>
      </c>
      <c r="G7" s="753" t="s">
        <v>190</v>
      </c>
      <c r="H7" s="753" t="s">
        <v>191</v>
      </c>
      <c r="I7" s="753" t="s">
        <v>190</v>
      </c>
      <c r="J7" s="753" t="s">
        <v>191</v>
      </c>
      <c r="K7" s="753" t="s">
        <v>190</v>
      </c>
      <c r="L7" s="753" t="s">
        <v>191</v>
      </c>
    </row>
    <row r="8" spans="1:12" s="754" customFormat="1" ht="15">
      <c r="B8" s="755" t="s">
        <v>2</v>
      </c>
      <c r="C8" s="752" t="s">
        <v>3</v>
      </c>
      <c r="D8" s="752"/>
      <c r="E8" s="753">
        <v>1</v>
      </c>
      <c r="F8" s="753">
        <v>1</v>
      </c>
      <c r="G8" s="753">
        <v>2</v>
      </c>
      <c r="H8" s="753">
        <v>2</v>
      </c>
      <c r="I8" s="753">
        <v>3</v>
      </c>
      <c r="J8" s="753">
        <v>3</v>
      </c>
      <c r="K8" s="753">
        <v>4</v>
      </c>
      <c r="L8" s="753">
        <v>4</v>
      </c>
    </row>
    <row r="9" spans="1:12" s="751" customFormat="1" ht="18" customHeight="1">
      <c r="A9" s="453" t="str">
        <f>IF(B9&lt;&gt;"","VL","")</f>
        <v>VL</v>
      </c>
      <c r="B9" s="756">
        <f>IF(C9&lt;&gt;"",ROW()-8,"")</f>
        <v>1</v>
      </c>
      <c r="C9" s="757" t="s">
        <v>442</v>
      </c>
      <c r="D9" s="758" t="s">
        <v>325</v>
      </c>
      <c r="E9" s="744"/>
      <c r="F9" s="744"/>
      <c r="G9" s="744">
        <f t="array" ref="G9">SUM(IF("1522"&amp;C9=KHN&amp;MH,SL))</f>
        <v>119810</v>
      </c>
      <c r="H9" s="744">
        <f t="array" ref="H9">SUM(IF("1522"&amp;C9=KHN&amp;MH,TH))</f>
        <v>94538600</v>
      </c>
      <c r="I9" s="744">
        <f t="array" ref="I9">SUM(IF("1522"&amp;C9=KHC&amp;MH,SL))</f>
        <v>92240</v>
      </c>
      <c r="J9" s="744">
        <f t="array" ref="J9">SUM(IF("1522"&amp;C9=KHC&amp;MH,TH))</f>
        <v>72482600</v>
      </c>
      <c r="K9" s="744">
        <f t="shared" ref="K9:L11" si="0">E9+G9-I9</f>
        <v>27570</v>
      </c>
      <c r="L9" s="744">
        <f t="shared" si="0"/>
        <v>22056000</v>
      </c>
    </row>
    <row r="10" spans="1:12" s="751" customFormat="1" ht="18" customHeight="1">
      <c r="A10" s="453" t="str">
        <f>IF(B10&lt;&gt;"","VL","")</f>
        <v>VL</v>
      </c>
      <c r="B10" s="756">
        <f t="shared" ref="B10:B12" si="1">IF(C10&lt;&gt;"",ROW()-8,"")</f>
        <v>2</v>
      </c>
      <c r="C10" s="757" t="s">
        <v>775</v>
      </c>
      <c r="D10" s="758" t="s">
        <v>325</v>
      </c>
      <c r="E10" s="725"/>
      <c r="F10" s="725"/>
      <c r="G10" s="744">
        <f t="array" ref="G10">SUM(IF("1522"&amp;C10=KHN&amp;MH,SL))</f>
        <v>121270</v>
      </c>
      <c r="H10" s="744">
        <f t="array" ref="H10">SUM(IF("1522"&amp;C10=KHN&amp;MH,TH))</f>
        <v>94166500</v>
      </c>
      <c r="I10" s="744">
        <f t="array" ref="I10">SUM(IF("1522"&amp;C10=KHC&amp;MH,SL))</f>
        <v>121270</v>
      </c>
      <c r="J10" s="744">
        <f t="array" ref="J10">SUM(IF("1522"&amp;C10=KHC&amp;MH,TH))</f>
        <v>94166500</v>
      </c>
      <c r="K10" s="725">
        <f t="shared" si="0"/>
        <v>0</v>
      </c>
      <c r="L10" s="725">
        <f t="shared" si="0"/>
        <v>0</v>
      </c>
    </row>
    <row r="11" spans="1:12" s="751" customFormat="1" ht="18" customHeight="1">
      <c r="A11" s="453" t="str">
        <f>IF(B11&lt;&gt;"","VL","")</f>
        <v>VL</v>
      </c>
      <c r="B11" s="756">
        <f t="shared" si="1"/>
        <v>3</v>
      </c>
      <c r="C11" s="757" t="s">
        <v>860</v>
      </c>
      <c r="D11" s="758" t="s">
        <v>325</v>
      </c>
      <c r="E11" s="725"/>
      <c r="F11" s="725"/>
      <c r="G11" s="744">
        <f t="array" ref="G11">SUM(IF("1522"&amp;C11=KHN&amp;MH,SL))</f>
        <v>830</v>
      </c>
      <c r="H11" s="744">
        <f t="array" ref="H11">SUM(IF("1522"&amp;C11=KHN&amp;MH,TH))</f>
        <v>19505000</v>
      </c>
      <c r="I11" s="744">
        <f t="array" ref="I11">SUM(IF("1522"&amp;C11=KHC&amp;MH,SL))</f>
        <v>830</v>
      </c>
      <c r="J11" s="744">
        <f t="array" ref="J11">SUM(IF("1522"&amp;C11=KHC&amp;MH,TH))</f>
        <v>19505000</v>
      </c>
      <c r="K11" s="725">
        <f t="shared" si="0"/>
        <v>0</v>
      </c>
      <c r="L11" s="725">
        <f t="shared" si="0"/>
        <v>0</v>
      </c>
    </row>
    <row r="12" spans="1:12" s="751" customFormat="1" ht="18" customHeight="1">
      <c r="A12" s="453" t="str">
        <f t="shared" ref="A12" si="2">IF(B12&lt;&gt;"","VL","")</f>
        <v>VL</v>
      </c>
      <c r="B12" s="756">
        <f t="shared" si="1"/>
        <v>4</v>
      </c>
      <c r="C12" s="757" t="s">
        <v>862</v>
      </c>
      <c r="D12" s="758" t="s">
        <v>325</v>
      </c>
      <c r="E12" s="725"/>
      <c r="F12" s="725"/>
      <c r="G12" s="744">
        <f t="array" ref="G12">SUM(IF("1522"&amp;C12=KHN&amp;MH,SL))</f>
        <v>4250</v>
      </c>
      <c r="H12" s="744">
        <f t="array" ref="H12">SUM(IF("1522"&amp;C12=KHN&amp;MH,TH))</f>
        <v>38250000</v>
      </c>
      <c r="I12" s="744">
        <f t="array" ref="I12">SUM(IF("1522"&amp;C12=KHC&amp;MH,SL))</f>
        <v>2250</v>
      </c>
      <c r="J12" s="744">
        <f t="array" ref="J12">SUM(IF("1522"&amp;C12=KHC&amp;MH,TH))</f>
        <v>20250000</v>
      </c>
      <c r="K12" s="725">
        <f t="shared" ref="K12" si="3">E12+G12-I12</f>
        <v>2000</v>
      </c>
      <c r="L12" s="725">
        <f t="shared" ref="L12" si="4">F12+H12-J12</f>
        <v>18000000</v>
      </c>
    </row>
    <row r="13" spans="1:12" s="751" customFormat="1" ht="18.75" customHeight="1">
      <c r="A13" s="453" t="str">
        <f>IF(B13&lt;&gt;"","VL","")</f>
        <v/>
      </c>
      <c r="B13" s="756" t="str">
        <f>IF(C13&lt;&gt;"",ROW()-11,"")</f>
        <v/>
      </c>
      <c r="C13" s="759"/>
      <c r="D13" s="760"/>
      <c r="E13" s="761"/>
      <c r="F13" s="761"/>
      <c r="G13" s="744"/>
      <c r="H13" s="761"/>
      <c r="I13" s="761"/>
      <c r="J13" s="761"/>
      <c r="K13" s="761"/>
      <c r="L13" s="761"/>
    </row>
    <row r="14" spans="1:12" s="751" customFormat="1" ht="18.75" customHeight="1">
      <c r="A14" s="453" t="str">
        <f>IF(B14&lt;&gt;"","VL","")</f>
        <v/>
      </c>
      <c r="B14" s="755"/>
      <c r="C14" s="762" t="s">
        <v>324</v>
      </c>
      <c r="D14" s="733"/>
      <c r="E14" s="733">
        <f t="shared" ref="E14:L14" si="5">SUM(E9:E13)</f>
        <v>0</v>
      </c>
      <c r="F14" s="733">
        <f t="shared" si="5"/>
        <v>0</v>
      </c>
      <c r="G14" s="733">
        <f t="shared" si="5"/>
        <v>246160</v>
      </c>
      <c r="H14" s="733">
        <f t="shared" si="5"/>
        <v>246460100</v>
      </c>
      <c r="I14" s="733">
        <f t="shared" si="5"/>
        <v>216590</v>
      </c>
      <c r="J14" s="733">
        <f t="shared" si="5"/>
        <v>206404100</v>
      </c>
      <c r="K14" s="733">
        <f t="shared" si="5"/>
        <v>29570</v>
      </c>
      <c r="L14" s="733">
        <f t="shared" si="5"/>
        <v>40056000</v>
      </c>
    </row>
    <row r="15" spans="1:12" s="751" customFormat="1" ht="18.75" hidden="1" customHeight="1">
      <c r="A15" s="453"/>
      <c r="B15" s="763"/>
      <c r="C15" s="764"/>
      <c r="D15" s="765"/>
      <c r="E15" s="765"/>
      <c r="F15" s="765">
        <f>F14-CDPS!C20</f>
        <v>0</v>
      </c>
      <c r="G15" s="765"/>
      <c r="H15" s="765">
        <f>H14-CDPS!E20</f>
        <v>0</v>
      </c>
      <c r="I15" s="765"/>
      <c r="J15" s="765">
        <f>J14-CDPS!F20</f>
        <v>0</v>
      </c>
      <c r="K15" s="765"/>
      <c r="L15" s="765">
        <f>L14-CDPS!G20</f>
        <v>0</v>
      </c>
    </row>
    <row r="16" spans="1:12" s="751" customFormat="1" ht="18.75" customHeight="1">
      <c r="A16" s="453" t="str">
        <f t="shared" ref="A16:A21" si="6">IF(B16&lt;&gt;"","NL","")</f>
        <v>NL</v>
      </c>
      <c r="B16" s="766">
        <f>IF(C16&lt;&gt;"",B15+1,"")</f>
        <v>1</v>
      </c>
      <c r="C16" s="757" t="s">
        <v>403</v>
      </c>
      <c r="D16" s="758" t="s">
        <v>325</v>
      </c>
      <c r="E16" s="744"/>
      <c r="F16" s="744"/>
      <c r="G16" s="744">
        <f t="array" ref="G16">SUM(IF("1521"&amp;C16=KHN&amp;MH,SL))</f>
        <v>39900</v>
      </c>
      <c r="H16" s="744">
        <f t="array" ref="H16">SUM(IF("1521"&amp;C16=KHN&amp;MH,TH))</f>
        <v>302211200</v>
      </c>
      <c r="I16" s="744">
        <f t="array" ref="I16">SUM(IF("1521"&amp;C16=KHC&amp;MH,SL))</f>
        <v>39900</v>
      </c>
      <c r="J16" s="744">
        <f t="array" ref="J16">SUM(IF("1521"&amp;C16=KHC&amp;MH,TH))</f>
        <v>302211200</v>
      </c>
      <c r="K16" s="744">
        <f t="shared" ref="K16:K21" si="7">E16+G16-I16</f>
        <v>0</v>
      </c>
      <c r="L16" s="744">
        <f t="shared" ref="L16:L21" si="8">F16+H16-J16</f>
        <v>0</v>
      </c>
    </row>
    <row r="17" spans="1:12" s="751" customFormat="1" ht="18.75" customHeight="1">
      <c r="A17" s="453" t="str">
        <f t="shared" si="6"/>
        <v>NL</v>
      </c>
      <c r="B17" s="766">
        <f t="shared" ref="B17:B21" si="9">IF(C17&lt;&gt;"",B16+1,"")</f>
        <v>2</v>
      </c>
      <c r="C17" s="757" t="s">
        <v>447</v>
      </c>
      <c r="D17" s="758" t="s">
        <v>325</v>
      </c>
      <c r="E17" s="725"/>
      <c r="F17" s="725"/>
      <c r="G17" s="744">
        <f t="array" ref="G17">SUM(IF("1521"&amp;C17=KHN&amp;MH,SL))</f>
        <v>10202</v>
      </c>
      <c r="H17" s="744">
        <f t="array" ref="H17">SUM(IF("1521"&amp;C17=KHN&amp;MH,TH))</f>
        <v>90797800</v>
      </c>
      <c r="I17" s="744">
        <f t="array" ref="I17">SUM(IF("1521"&amp;C17=KHC&amp;MH,SL))</f>
        <v>10202</v>
      </c>
      <c r="J17" s="744">
        <f t="array" ref="J17">SUM(IF("1521"&amp;C17=KHC&amp;MH,TH))</f>
        <v>90797800</v>
      </c>
      <c r="K17" s="725">
        <f t="shared" si="7"/>
        <v>0</v>
      </c>
      <c r="L17" s="725">
        <f t="shared" si="8"/>
        <v>0</v>
      </c>
    </row>
    <row r="18" spans="1:12" s="751" customFormat="1" ht="18.75" customHeight="1">
      <c r="A18" s="453" t="str">
        <f t="shared" si="6"/>
        <v>NL</v>
      </c>
      <c r="B18" s="766">
        <f t="shared" si="9"/>
        <v>3</v>
      </c>
      <c r="C18" s="757" t="s">
        <v>448</v>
      </c>
      <c r="D18" s="758" t="s">
        <v>325</v>
      </c>
      <c r="E18" s="725"/>
      <c r="F18" s="725"/>
      <c r="G18" s="744">
        <f t="array" ref="G18">SUM(IF("1521"&amp;C18=KHN&amp;MH,SL))</f>
        <v>21716</v>
      </c>
      <c r="H18" s="744">
        <f t="array" ref="H18">SUM(IF("1521"&amp;C18=KHN&amp;MH,TH))</f>
        <v>184586000</v>
      </c>
      <c r="I18" s="744">
        <f t="array" ref="I18">SUM(IF("1521"&amp;C18=KHC&amp;MH,SL))</f>
        <v>21716</v>
      </c>
      <c r="J18" s="744">
        <f t="array" ref="J18">SUM(IF("1521"&amp;C18=KHC&amp;MH,TH))</f>
        <v>184586000</v>
      </c>
      <c r="K18" s="725">
        <f t="shared" si="7"/>
        <v>0</v>
      </c>
      <c r="L18" s="725">
        <f t="shared" si="8"/>
        <v>0</v>
      </c>
    </row>
    <row r="19" spans="1:12" s="751" customFormat="1" ht="18.75" customHeight="1">
      <c r="A19" s="453" t="str">
        <f t="shared" si="6"/>
        <v>NL</v>
      </c>
      <c r="B19" s="766">
        <f t="shared" si="9"/>
        <v>4</v>
      </c>
      <c r="C19" s="757" t="s">
        <v>405</v>
      </c>
      <c r="D19" s="758" t="s">
        <v>325</v>
      </c>
      <c r="E19" s="725"/>
      <c r="F19" s="725"/>
      <c r="G19" s="744">
        <f t="array" ref="G19">SUM(IF("1521"&amp;C19=KHN&amp;MH,SL))</f>
        <v>13252</v>
      </c>
      <c r="H19" s="744">
        <f t="array" ref="H19">SUM(IF("1521"&amp;C19=KHN&amp;MH,TH))</f>
        <v>112642000</v>
      </c>
      <c r="I19" s="744">
        <f t="array" ref="I19">SUM(IF("1521"&amp;C19=KHC&amp;MH,SL))</f>
        <v>13252</v>
      </c>
      <c r="J19" s="744">
        <f t="array" ref="J19">SUM(IF("1521"&amp;C19=KHC&amp;MH,TH))</f>
        <v>112642000</v>
      </c>
      <c r="K19" s="725">
        <f t="shared" si="7"/>
        <v>0</v>
      </c>
      <c r="L19" s="725">
        <f t="shared" si="8"/>
        <v>0</v>
      </c>
    </row>
    <row r="20" spans="1:12" s="751" customFormat="1" ht="18" customHeight="1">
      <c r="A20" s="453" t="str">
        <f t="shared" si="6"/>
        <v>NL</v>
      </c>
      <c r="B20" s="766">
        <f t="shared" si="9"/>
        <v>5</v>
      </c>
      <c r="C20" s="757" t="s">
        <v>781</v>
      </c>
      <c r="D20" s="758" t="s">
        <v>325</v>
      </c>
      <c r="E20" s="725"/>
      <c r="F20" s="725"/>
      <c r="G20" s="744">
        <f t="array" ref="G20">SUM(IF("1521"&amp;C20=KHN&amp;MH,SL))</f>
        <v>49543</v>
      </c>
      <c r="H20" s="744">
        <f t="array" ref="H20">SUM(IF("1521"&amp;C20=KHN&amp;MH,TH))</f>
        <v>392931800</v>
      </c>
      <c r="I20" s="744">
        <f t="array" ref="I20">SUM(IF("1521"&amp;C20=KHC&amp;MH,SL))</f>
        <v>24273</v>
      </c>
      <c r="J20" s="744">
        <f t="array" ref="J20">SUM(IF("1521"&amp;C20=KHC&amp;MH,TH))</f>
        <v>195825800</v>
      </c>
      <c r="K20" s="725">
        <f t="shared" si="7"/>
        <v>25270</v>
      </c>
      <c r="L20" s="725">
        <f t="shared" si="8"/>
        <v>197106000</v>
      </c>
    </row>
    <row r="21" spans="1:12" s="751" customFormat="1" ht="18" customHeight="1">
      <c r="A21" s="453" t="str">
        <f t="shared" si="6"/>
        <v>NL</v>
      </c>
      <c r="B21" s="766">
        <f t="shared" si="9"/>
        <v>6</v>
      </c>
      <c r="C21" s="757" t="s">
        <v>877</v>
      </c>
      <c r="D21" s="758" t="s">
        <v>325</v>
      </c>
      <c r="E21" s="725"/>
      <c r="F21" s="725"/>
      <c r="G21" s="744">
        <f t="array" ref="G21">SUM(IF("1521"&amp;C21=KHN&amp;MH,SL))</f>
        <v>55700</v>
      </c>
      <c r="H21" s="744">
        <f t="array" ref="H21">SUM(IF("1521"&amp;C21=KHN&amp;MH,TH))</f>
        <v>467880000</v>
      </c>
      <c r="I21" s="744">
        <f t="array" ref="I21">SUM(IF("1521"&amp;C21=KHC&amp;MH,SL))</f>
        <v>28000</v>
      </c>
      <c r="J21" s="744">
        <f t="array" ref="J21">SUM(IF("1521"&amp;C21=KHC&amp;MH,TH))</f>
        <v>235200000</v>
      </c>
      <c r="K21" s="725">
        <f t="shared" si="7"/>
        <v>27700</v>
      </c>
      <c r="L21" s="725">
        <f t="shared" si="8"/>
        <v>232680000</v>
      </c>
    </row>
    <row r="22" spans="1:12" s="751" customFormat="1" ht="19.5" customHeight="1">
      <c r="A22" s="453" t="str">
        <f t="shared" ref="A22:A23" si="10">IF(B22&lt;&gt;"","NL","")</f>
        <v/>
      </c>
      <c r="B22" s="756" t="str">
        <f>IF(C22&lt;&gt;"",#REF!+1,"")</f>
        <v/>
      </c>
      <c r="C22" s="767"/>
      <c r="D22" s="768"/>
      <c r="E22" s="769"/>
      <c r="F22" s="769"/>
      <c r="G22" s="769"/>
      <c r="H22" s="769"/>
      <c r="I22" s="769"/>
      <c r="J22" s="769"/>
      <c r="K22" s="725"/>
      <c r="L22" s="725"/>
    </row>
    <row r="23" spans="1:12" s="751" customFormat="1" ht="19.5" customHeight="1">
      <c r="A23" s="453" t="str">
        <f t="shared" si="10"/>
        <v/>
      </c>
      <c r="B23" s="755"/>
      <c r="C23" s="762" t="s">
        <v>328</v>
      </c>
      <c r="D23" s="755"/>
      <c r="E23" s="733">
        <f t="shared" ref="E23:L23" si="11">SUM(E16:E22)</f>
        <v>0</v>
      </c>
      <c r="F23" s="733">
        <f t="shared" si="11"/>
        <v>0</v>
      </c>
      <c r="G23" s="733">
        <f t="shared" si="11"/>
        <v>190313</v>
      </c>
      <c r="H23" s="733">
        <f t="shared" si="11"/>
        <v>1551048800</v>
      </c>
      <c r="I23" s="733">
        <f t="shared" si="11"/>
        <v>137343</v>
      </c>
      <c r="J23" s="733">
        <f t="shared" si="11"/>
        <v>1121262800</v>
      </c>
      <c r="K23" s="733">
        <f t="shared" si="11"/>
        <v>52970</v>
      </c>
      <c r="L23" s="733">
        <f t="shared" si="11"/>
        <v>429786000</v>
      </c>
    </row>
    <row r="24" spans="1:12" s="751" customFormat="1" ht="19.5" hidden="1" customHeight="1">
      <c r="A24" s="453"/>
      <c r="B24" s="763"/>
      <c r="C24" s="764"/>
      <c r="D24" s="763"/>
      <c r="E24" s="765"/>
      <c r="F24" s="765">
        <f>F23-CDPS!C19</f>
        <v>0</v>
      </c>
      <c r="G24" s="765"/>
      <c r="H24" s="765">
        <f>H23-CDPS!E19</f>
        <v>0</v>
      </c>
      <c r="I24" s="765"/>
      <c r="J24" s="765">
        <f>J23-CDPS!F19</f>
        <v>0</v>
      </c>
      <c r="K24" s="765"/>
      <c r="L24" s="765">
        <f>L23-CDPS!G19</f>
        <v>0</v>
      </c>
    </row>
    <row r="25" spans="1:12" s="751" customFormat="1" ht="19.5" customHeight="1">
      <c r="A25" s="453" t="str">
        <f>IF(B25&lt;&gt;"","TP","")</f>
        <v>TP</v>
      </c>
      <c r="B25" s="770">
        <f>IF(C25&lt;&gt;"",B24+1,"")</f>
        <v>1</v>
      </c>
      <c r="C25" s="771" t="s">
        <v>665</v>
      </c>
      <c r="D25" s="772" t="s">
        <v>969</v>
      </c>
      <c r="E25" s="744"/>
      <c r="F25" s="744"/>
      <c r="G25" s="744">
        <f t="array" ref="G25">SUM(IF("155"&amp;C25=KHN&amp;MH,SL))</f>
        <v>520</v>
      </c>
      <c r="H25" s="744">
        <f t="array" ref="H25">SUM(IF("155"&amp;C25=KHN&amp;MH,TH))</f>
        <v>3046505</v>
      </c>
      <c r="I25" s="744">
        <f t="array" ref="I25">SUM(IF("155"&amp;C25=KHC&amp;MH,SL))</f>
        <v>520</v>
      </c>
      <c r="J25" s="744">
        <f t="array" ref="J25">SUM(IF("155"&amp;C25=KHC&amp;MH,TH))</f>
        <v>3046505</v>
      </c>
      <c r="K25" s="744">
        <f t="shared" ref="K25:K56" si="12">E25+G25-I25</f>
        <v>0</v>
      </c>
      <c r="L25" s="744">
        <f t="shared" ref="L25:L56" si="13">F25+H25-J25</f>
        <v>0</v>
      </c>
    </row>
    <row r="26" spans="1:12" s="751" customFormat="1" ht="18.75" customHeight="1">
      <c r="A26" s="453" t="str">
        <f>IF(B26&lt;&gt;"","TP","")</f>
        <v>TP</v>
      </c>
      <c r="B26" s="770">
        <f>IF(C26&lt;&gt;"",B25+1,"")</f>
        <v>2</v>
      </c>
      <c r="C26" s="773" t="s">
        <v>368</v>
      </c>
      <c r="D26" s="772" t="s">
        <v>969</v>
      </c>
      <c r="E26" s="725"/>
      <c r="F26" s="725"/>
      <c r="G26" s="744">
        <f t="array" ref="G26">SUM(IF("155"&amp;C26=KHN&amp;MH,SL))</f>
        <v>500</v>
      </c>
      <c r="H26" s="744">
        <f t="array" ref="H26">SUM(IF("155"&amp;C26=KHN&amp;MH,TH))</f>
        <v>9521181</v>
      </c>
      <c r="I26" s="744">
        <f t="array" ref="I26">SUM(IF("155"&amp;C26=KHC&amp;MH,SL))</f>
        <v>500</v>
      </c>
      <c r="J26" s="744">
        <f t="array" ref="J26">SUM(IF("155"&amp;C26=KHC&amp;MH,TH))</f>
        <v>9521181</v>
      </c>
      <c r="K26" s="725">
        <f t="shared" si="12"/>
        <v>0</v>
      </c>
      <c r="L26" s="725">
        <f t="shared" si="13"/>
        <v>0</v>
      </c>
    </row>
    <row r="27" spans="1:12" s="751" customFormat="1" ht="18.75" customHeight="1">
      <c r="A27" s="453" t="str">
        <f t="shared" ref="A27:A90" si="14">IF(B27&lt;&gt;"","TP","")</f>
        <v>TP</v>
      </c>
      <c r="B27" s="770">
        <f t="shared" ref="B27:B90" si="15">IF(C27&lt;&gt;"",B26+1,"")</f>
        <v>3</v>
      </c>
      <c r="C27" s="757" t="s">
        <v>491</v>
      </c>
      <c r="D27" s="772" t="s">
        <v>970</v>
      </c>
      <c r="E27" s="725"/>
      <c r="F27" s="725"/>
      <c r="G27" s="744">
        <f t="array" ref="G27">SUM(IF("155"&amp;C27=KHN&amp;MH,SL))</f>
        <v>73</v>
      </c>
      <c r="H27" s="744">
        <f t="array" ref="H27">SUM(IF("155"&amp;C27=KHN&amp;MH,TH))</f>
        <v>3141248</v>
      </c>
      <c r="I27" s="744">
        <f t="array" ref="I27">SUM(IF("155"&amp;C27=KHC&amp;MH,SL))</f>
        <v>73</v>
      </c>
      <c r="J27" s="744">
        <f t="array" ref="J27">SUM(IF("155"&amp;C27=KHC&amp;MH,TH))</f>
        <v>3141248</v>
      </c>
      <c r="K27" s="725">
        <f t="shared" si="12"/>
        <v>0</v>
      </c>
      <c r="L27" s="725">
        <f t="shared" si="13"/>
        <v>0</v>
      </c>
    </row>
    <row r="28" spans="1:12" s="751" customFormat="1" ht="18.75" customHeight="1">
      <c r="A28" s="453" t="str">
        <f t="shared" si="14"/>
        <v>TP</v>
      </c>
      <c r="B28" s="770">
        <f t="shared" si="15"/>
        <v>4</v>
      </c>
      <c r="C28" s="771" t="s">
        <v>935</v>
      </c>
      <c r="D28" s="772" t="s">
        <v>970</v>
      </c>
      <c r="E28" s="725"/>
      <c r="F28" s="725"/>
      <c r="G28" s="744">
        <f t="array" ref="G28">SUM(IF("155"&amp;C28=KHN&amp;MH,SL))</f>
        <v>650</v>
      </c>
      <c r="H28" s="744">
        <f t="array" ref="H28">SUM(IF("155"&amp;C28=KHN&amp;MH,TH))</f>
        <v>544019</v>
      </c>
      <c r="I28" s="744">
        <f t="array" ref="I28">SUM(IF("155"&amp;C28=KHC&amp;MH,SL))</f>
        <v>650</v>
      </c>
      <c r="J28" s="744">
        <f t="array" ref="J28">SUM(IF("155"&amp;C28=KHC&amp;MH,TH))</f>
        <v>544019</v>
      </c>
      <c r="K28" s="725">
        <f t="shared" si="12"/>
        <v>0</v>
      </c>
      <c r="L28" s="725">
        <f t="shared" si="13"/>
        <v>0</v>
      </c>
    </row>
    <row r="29" spans="1:12" s="751" customFormat="1" ht="18.75" customHeight="1">
      <c r="A29" s="453" t="str">
        <f t="shared" si="14"/>
        <v>TP</v>
      </c>
      <c r="B29" s="770">
        <f t="shared" si="15"/>
        <v>5</v>
      </c>
      <c r="C29" s="771" t="s">
        <v>679</v>
      </c>
      <c r="D29" s="772" t="s">
        <v>969</v>
      </c>
      <c r="E29" s="725"/>
      <c r="F29" s="725"/>
      <c r="G29" s="744">
        <f t="array" ref="G29">SUM(IF("155"&amp;C29=KHN&amp;MH,SL))</f>
        <v>4600</v>
      </c>
      <c r="H29" s="744">
        <f t="array" ref="H29">SUM(IF("155"&amp;C29=KHN&amp;MH,TH))</f>
        <v>3149982</v>
      </c>
      <c r="I29" s="744">
        <f t="array" ref="I29">SUM(IF("155"&amp;C29=KHC&amp;MH,SL))</f>
        <v>4600</v>
      </c>
      <c r="J29" s="744">
        <f t="array" ref="J29">SUM(IF("155"&amp;C29=KHC&amp;MH,TH))</f>
        <v>3149982</v>
      </c>
      <c r="K29" s="725">
        <f t="shared" si="12"/>
        <v>0</v>
      </c>
      <c r="L29" s="725">
        <f t="shared" si="13"/>
        <v>0</v>
      </c>
    </row>
    <row r="30" spans="1:12" s="751" customFormat="1" ht="18.75" customHeight="1">
      <c r="A30" s="453" t="str">
        <f t="shared" si="14"/>
        <v>TP</v>
      </c>
      <c r="B30" s="770">
        <f t="shared" si="15"/>
        <v>6</v>
      </c>
      <c r="C30" s="771" t="s">
        <v>895</v>
      </c>
      <c r="D30" s="772" t="s">
        <v>969</v>
      </c>
      <c r="E30" s="725"/>
      <c r="F30" s="725"/>
      <c r="G30" s="744">
        <f t="array" ref="G30">SUM(IF("155"&amp;C30=KHN&amp;MH,SL))</f>
        <v>126</v>
      </c>
      <c r="H30" s="744">
        <f t="array" ref="H30">SUM(IF("155"&amp;C30=KHN&amp;MH,TH))</f>
        <v>86282</v>
      </c>
      <c r="I30" s="744">
        <f t="array" ref="I30">SUM(IF("155"&amp;C30=KHC&amp;MH,SL))</f>
        <v>126</v>
      </c>
      <c r="J30" s="744">
        <f t="array" ref="J30">SUM(IF("155"&amp;C30=KHC&amp;MH,TH))</f>
        <v>86282</v>
      </c>
      <c r="K30" s="725">
        <f t="shared" si="12"/>
        <v>0</v>
      </c>
      <c r="L30" s="725">
        <f t="shared" si="13"/>
        <v>0</v>
      </c>
    </row>
    <row r="31" spans="1:12" s="751" customFormat="1" ht="18.75" customHeight="1">
      <c r="A31" s="453" t="str">
        <f t="shared" si="14"/>
        <v>TP</v>
      </c>
      <c r="B31" s="770">
        <f t="shared" si="15"/>
        <v>7</v>
      </c>
      <c r="C31" s="757" t="s">
        <v>857</v>
      </c>
      <c r="D31" s="772" t="s">
        <v>969</v>
      </c>
      <c r="E31" s="725"/>
      <c r="F31" s="725"/>
      <c r="G31" s="744">
        <f t="array" ref="G31">SUM(IF("155"&amp;C31=KHN&amp;MH,SL))</f>
        <v>100</v>
      </c>
      <c r="H31" s="744">
        <f t="array" ref="H31">SUM(IF("155"&amp;C31=KHN&amp;MH,TH))</f>
        <v>45652</v>
      </c>
      <c r="I31" s="744">
        <f t="array" ref="I31">SUM(IF("155"&amp;C31=KHC&amp;MH,SL))</f>
        <v>100</v>
      </c>
      <c r="J31" s="744">
        <f t="array" ref="J31">SUM(IF("155"&amp;C31=KHC&amp;MH,TH))</f>
        <v>45652</v>
      </c>
      <c r="K31" s="725">
        <f t="shared" si="12"/>
        <v>0</v>
      </c>
      <c r="L31" s="725">
        <f t="shared" si="13"/>
        <v>0</v>
      </c>
    </row>
    <row r="32" spans="1:12" s="751" customFormat="1" ht="18.75" customHeight="1">
      <c r="A32" s="453" t="str">
        <f t="shared" si="14"/>
        <v>TP</v>
      </c>
      <c r="B32" s="770">
        <f t="shared" si="15"/>
        <v>8</v>
      </c>
      <c r="C32" s="771" t="s">
        <v>856</v>
      </c>
      <c r="D32" s="772" t="s">
        <v>969</v>
      </c>
      <c r="E32" s="725"/>
      <c r="F32" s="725"/>
      <c r="G32" s="744">
        <f t="array" ref="G32">SUM(IF("155"&amp;C32=KHN&amp;MH,SL))</f>
        <v>360</v>
      </c>
      <c r="H32" s="744">
        <f t="array" ref="H32">SUM(IF("155"&amp;C32=KHN&amp;MH,TH))</f>
        <v>219129</v>
      </c>
      <c r="I32" s="744">
        <f t="array" ref="I32">SUM(IF("155"&amp;C32=KHC&amp;MH,SL))</f>
        <v>360</v>
      </c>
      <c r="J32" s="744">
        <f t="array" ref="J32">SUM(IF("155"&amp;C32=KHC&amp;MH,TH))</f>
        <v>219129</v>
      </c>
      <c r="K32" s="725">
        <f t="shared" si="12"/>
        <v>0</v>
      </c>
      <c r="L32" s="725">
        <f t="shared" si="13"/>
        <v>0</v>
      </c>
    </row>
    <row r="33" spans="1:12" s="751" customFormat="1" ht="18.75" customHeight="1">
      <c r="A33" s="453" t="str">
        <f t="shared" si="14"/>
        <v>TP</v>
      </c>
      <c r="B33" s="770">
        <f t="shared" si="15"/>
        <v>9</v>
      </c>
      <c r="C33" s="771" t="s">
        <v>855</v>
      </c>
      <c r="D33" s="772" t="s">
        <v>969</v>
      </c>
      <c r="E33" s="725"/>
      <c r="F33" s="725"/>
      <c r="G33" s="744">
        <f t="array" ref="G33">SUM(IF("155"&amp;C33=KHN&amp;MH,SL))</f>
        <v>584</v>
      </c>
      <c r="H33" s="744">
        <f t="array" ref="H33">SUM(IF("155"&amp;C33=KHN&amp;MH,TH))</f>
        <v>399911</v>
      </c>
      <c r="I33" s="744">
        <f t="array" ref="I33">SUM(IF("155"&amp;C33=KHC&amp;MH,SL))</f>
        <v>584</v>
      </c>
      <c r="J33" s="744">
        <f t="array" ref="J33">SUM(IF("155"&amp;C33=KHC&amp;MH,TH))</f>
        <v>399911</v>
      </c>
      <c r="K33" s="725">
        <f t="shared" si="12"/>
        <v>0</v>
      </c>
      <c r="L33" s="725">
        <f t="shared" si="13"/>
        <v>0</v>
      </c>
    </row>
    <row r="34" spans="1:12" s="751" customFormat="1" ht="18.75" customHeight="1">
      <c r="A34" s="453" t="str">
        <f t="shared" si="14"/>
        <v>TP</v>
      </c>
      <c r="B34" s="770">
        <f t="shared" si="15"/>
        <v>10</v>
      </c>
      <c r="C34" s="771" t="s">
        <v>858</v>
      </c>
      <c r="D34" s="772" t="s">
        <v>969</v>
      </c>
      <c r="E34" s="725"/>
      <c r="F34" s="725"/>
      <c r="G34" s="744">
        <f t="array" ref="G34">SUM(IF("155"&amp;C34=KHN&amp;MH,SL))</f>
        <v>1108</v>
      </c>
      <c r="H34" s="744">
        <f t="array" ref="H34">SUM(IF("155"&amp;C34=KHN&amp;MH,TH))</f>
        <v>1095950</v>
      </c>
      <c r="I34" s="744">
        <f t="array" ref="I34">SUM(IF("155"&amp;C34=KHC&amp;MH,SL))</f>
        <v>1108</v>
      </c>
      <c r="J34" s="744">
        <f t="array" ref="J34">SUM(IF("155"&amp;C34=KHC&amp;MH,TH))</f>
        <v>1095950</v>
      </c>
      <c r="K34" s="725">
        <f t="shared" si="12"/>
        <v>0</v>
      </c>
      <c r="L34" s="725">
        <f t="shared" si="13"/>
        <v>0</v>
      </c>
    </row>
    <row r="35" spans="1:12" s="751" customFormat="1" ht="18.75" customHeight="1">
      <c r="A35" s="453" t="str">
        <f t="shared" si="14"/>
        <v>TP</v>
      </c>
      <c r="B35" s="770">
        <f t="shared" si="15"/>
        <v>11</v>
      </c>
      <c r="C35" s="771" t="s">
        <v>375</v>
      </c>
      <c r="D35" s="772" t="s">
        <v>969</v>
      </c>
      <c r="E35" s="725"/>
      <c r="F35" s="725"/>
      <c r="G35" s="744">
        <f t="array" ref="G35">SUM(IF("155"&amp;C35=KHN&amp;MH,SL))</f>
        <v>9016</v>
      </c>
      <c r="H35" s="744">
        <f t="array" ref="H35">SUM(IF("155"&amp;C35=KHN&amp;MH,TH))</f>
        <v>6482475</v>
      </c>
      <c r="I35" s="744">
        <f t="array" ref="I35">SUM(IF("155"&amp;C35=KHC&amp;MH,SL))</f>
        <v>9016</v>
      </c>
      <c r="J35" s="744">
        <f t="array" ref="J35">SUM(IF("155"&amp;C35=KHC&amp;MH,TH))</f>
        <v>6482475</v>
      </c>
      <c r="K35" s="725">
        <f t="shared" si="12"/>
        <v>0</v>
      </c>
      <c r="L35" s="725">
        <f t="shared" si="13"/>
        <v>0</v>
      </c>
    </row>
    <row r="36" spans="1:12" s="751" customFormat="1" ht="18.75" customHeight="1">
      <c r="A36" s="453" t="str">
        <f t="shared" si="14"/>
        <v>TP</v>
      </c>
      <c r="B36" s="770">
        <f t="shared" si="15"/>
        <v>12</v>
      </c>
      <c r="C36" s="773" t="s">
        <v>906</v>
      </c>
      <c r="D36" s="772" t="s">
        <v>969</v>
      </c>
      <c r="E36" s="725"/>
      <c r="F36" s="725"/>
      <c r="G36" s="744">
        <f t="array" ref="G36">SUM(IF("155"&amp;C36=KHN&amp;MH,SL))</f>
        <v>132</v>
      </c>
      <c r="H36" s="744">
        <f t="array" ref="H36">SUM(IF("155"&amp;C36=KHN&amp;MH,TH))</f>
        <v>180782</v>
      </c>
      <c r="I36" s="744">
        <f t="array" ref="I36">SUM(IF("155"&amp;C36=KHC&amp;MH,SL))</f>
        <v>132</v>
      </c>
      <c r="J36" s="744">
        <f t="array" ref="J36">SUM(IF("155"&amp;C36=KHC&amp;MH,TH))</f>
        <v>180782</v>
      </c>
      <c r="K36" s="725">
        <f t="shared" si="12"/>
        <v>0</v>
      </c>
      <c r="L36" s="725">
        <f t="shared" si="13"/>
        <v>0</v>
      </c>
    </row>
    <row r="37" spans="1:12" s="751" customFormat="1" ht="18.75" customHeight="1">
      <c r="A37" s="453" t="str">
        <f t="shared" si="14"/>
        <v>TP</v>
      </c>
      <c r="B37" s="770">
        <f t="shared" si="15"/>
        <v>13</v>
      </c>
      <c r="C37" s="773" t="s">
        <v>533</v>
      </c>
      <c r="D37" s="772" t="s">
        <v>969</v>
      </c>
      <c r="E37" s="725"/>
      <c r="F37" s="725"/>
      <c r="G37" s="744">
        <f t="array" ref="G37">SUM(IF("155"&amp;C37=KHN&amp;MH,SL))</f>
        <v>240</v>
      </c>
      <c r="H37" s="744">
        <f t="array" ref="H37">SUM(IF("155"&amp;C37=KHN&amp;MH,TH))</f>
        <v>375901</v>
      </c>
      <c r="I37" s="744">
        <f t="array" ref="I37">SUM(IF("155"&amp;C37=KHC&amp;MH,SL))</f>
        <v>240</v>
      </c>
      <c r="J37" s="744">
        <f t="array" ref="J37">SUM(IF("155"&amp;C37=KHC&amp;MH,TH))</f>
        <v>375901</v>
      </c>
      <c r="K37" s="725">
        <f t="shared" si="12"/>
        <v>0</v>
      </c>
      <c r="L37" s="725">
        <f t="shared" si="13"/>
        <v>0</v>
      </c>
    </row>
    <row r="38" spans="1:12" s="751" customFormat="1" ht="18.75" customHeight="1">
      <c r="A38" s="453" t="str">
        <f t="shared" si="14"/>
        <v>TP</v>
      </c>
      <c r="B38" s="770">
        <f t="shared" si="15"/>
        <v>14</v>
      </c>
      <c r="C38" s="773" t="s">
        <v>507</v>
      </c>
      <c r="D38" s="772" t="s">
        <v>969</v>
      </c>
      <c r="E38" s="725"/>
      <c r="F38" s="725"/>
      <c r="G38" s="744">
        <f t="array" ref="G38">SUM(IF("155"&amp;C38=KHN&amp;MH,SL))</f>
        <v>850</v>
      </c>
      <c r="H38" s="744">
        <f t="array" ref="H38">SUM(IF("155"&amp;C38=KHN&amp;MH,TH))</f>
        <v>1331559</v>
      </c>
      <c r="I38" s="744">
        <f t="array" ref="I38">SUM(IF("155"&amp;C38=KHC&amp;MH,SL))</f>
        <v>850</v>
      </c>
      <c r="J38" s="744">
        <f t="array" ref="J38">SUM(IF("155"&amp;C38=KHC&amp;MH,TH))</f>
        <v>1331559</v>
      </c>
      <c r="K38" s="725">
        <f t="shared" si="12"/>
        <v>0</v>
      </c>
      <c r="L38" s="725">
        <f t="shared" si="13"/>
        <v>0</v>
      </c>
    </row>
    <row r="39" spans="1:12" s="751" customFormat="1" ht="18.75" customHeight="1">
      <c r="A39" s="453" t="str">
        <f t="shared" si="14"/>
        <v>TP</v>
      </c>
      <c r="B39" s="770">
        <f t="shared" si="15"/>
        <v>15</v>
      </c>
      <c r="C39" s="773" t="s">
        <v>506</v>
      </c>
      <c r="D39" s="772" t="s">
        <v>969</v>
      </c>
      <c r="E39" s="725"/>
      <c r="F39" s="725"/>
      <c r="G39" s="744">
        <f t="array" ref="G39">SUM(IF("155"&amp;C39=KHN&amp;MH,SL))</f>
        <v>500</v>
      </c>
      <c r="H39" s="744">
        <f t="array" ref="H39">SUM(IF("155"&amp;C39=KHN&amp;MH,TH))</f>
        <v>1318951</v>
      </c>
      <c r="I39" s="744">
        <f t="array" ref="I39">SUM(IF("155"&amp;C39=KHC&amp;MH,SL))</f>
        <v>500</v>
      </c>
      <c r="J39" s="744">
        <f t="array" ref="J39">SUM(IF("155"&amp;C39=KHC&amp;MH,TH))</f>
        <v>1318951</v>
      </c>
      <c r="K39" s="725">
        <f t="shared" si="12"/>
        <v>0</v>
      </c>
      <c r="L39" s="725">
        <f t="shared" si="13"/>
        <v>0</v>
      </c>
    </row>
    <row r="40" spans="1:12" s="751" customFormat="1" ht="18.75" customHeight="1">
      <c r="A40" s="453" t="str">
        <f t="shared" si="14"/>
        <v>TP</v>
      </c>
      <c r="B40" s="770">
        <f t="shared" si="15"/>
        <v>16</v>
      </c>
      <c r="C40" s="773" t="s">
        <v>658</v>
      </c>
      <c r="D40" s="772" t="s">
        <v>970</v>
      </c>
      <c r="E40" s="725"/>
      <c r="F40" s="725"/>
      <c r="G40" s="744">
        <f t="array" ref="G40">SUM(IF("155"&amp;C40=KHN&amp;MH,SL))</f>
        <v>650</v>
      </c>
      <c r="H40" s="744">
        <f t="array" ref="H40">SUM(IF("155"&amp;C40=KHN&amp;MH,TH))</f>
        <v>4447340</v>
      </c>
      <c r="I40" s="744">
        <f t="array" ref="I40">SUM(IF("155"&amp;C40=KHC&amp;MH,SL))</f>
        <v>650</v>
      </c>
      <c r="J40" s="744">
        <f t="array" ref="J40">SUM(IF("155"&amp;C40=KHC&amp;MH,TH))</f>
        <v>4447340</v>
      </c>
      <c r="K40" s="725">
        <f t="shared" si="12"/>
        <v>0</v>
      </c>
      <c r="L40" s="725">
        <f t="shared" si="13"/>
        <v>0</v>
      </c>
    </row>
    <row r="41" spans="1:12" s="751" customFormat="1" ht="18.75" customHeight="1">
      <c r="A41" s="453" t="str">
        <f t="shared" si="14"/>
        <v>TP</v>
      </c>
      <c r="B41" s="770">
        <f t="shared" si="15"/>
        <v>17</v>
      </c>
      <c r="C41" s="771" t="s">
        <v>660</v>
      </c>
      <c r="D41" s="772" t="s">
        <v>970</v>
      </c>
      <c r="E41" s="725"/>
      <c r="F41" s="725"/>
      <c r="G41" s="744">
        <f t="array" ref="G41">SUM(IF("155"&amp;C41=KHN&amp;MH,SL))</f>
        <v>352</v>
      </c>
      <c r="H41" s="744">
        <f t="array" ref="H41">SUM(IF("155"&amp;C41=KHN&amp;MH,TH))</f>
        <v>3307930</v>
      </c>
      <c r="I41" s="744">
        <f t="array" ref="I41">SUM(IF("155"&amp;C41=KHC&amp;MH,SL))</f>
        <v>352</v>
      </c>
      <c r="J41" s="744">
        <f t="array" ref="J41">SUM(IF("155"&amp;C41=KHC&amp;MH,TH))</f>
        <v>3307930</v>
      </c>
      <c r="K41" s="725">
        <f t="shared" si="12"/>
        <v>0</v>
      </c>
      <c r="L41" s="725">
        <f t="shared" si="13"/>
        <v>0</v>
      </c>
    </row>
    <row r="42" spans="1:12" s="751" customFormat="1" ht="18.75" customHeight="1">
      <c r="A42" s="453" t="str">
        <f t="shared" si="14"/>
        <v>TP</v>
      </c>
      <c r="B42" s="770">
        <f t="shared" si="15"/>
        <v>18</v>
      </c>
      <c r="C42" s="771" t="s">
        <v>656</v>
      </c>
      <c r="D42" s="772" t="s">
        <v>970</v>
      </c>
      <c r="E42" s="725"/>
      <c r="F42" s="725"/>
      <c r="G42" s="744">
        <f t="array" ref="G42">SUM(IF("155"&amp;C42=KHN&amp;MH,SL))</f>
        <v>35</v>
      </c>
      <c r="H42" s="744">
        <f t="array" ref="H42">SUM(IF("155"&amp;C42=KHN&amp;MH,TH))</f>
        <v>372192</v>
      </c>
      <c r="I42" s="744">
        <f t="array" ref="I42">SUM(IF("155"&amp;C42=KHC&amp;MH,SL))</f>
        <v>35</v>
      </c>
      <c r="J42" s="744">
        <f t="array" ref="J42">SUM(IF("155"&amp;C42=KHC&amp;MH,TH))</f>
        <v>372192</v>
      </c>
      <c r="K42" s="725">
        <f t="shared" si="12"/>
        <v>0</v>
      </c>
      <c r="L42" s="725">
        <f t="shared" si="13"/>
        <v>0</v>
      </c>
    </row>
    <row r="43" spans="1:12" s="751" customFormat="1" ht="18.75" customHeight="1">
      <c r="A43" s="453" t="str">
        <f t="shared" si="14"/>
        <v>TP</v>
      </c>
      <c r="B43" s="770">
        <f t="shared" si="15"/>
        <v>19</v>
      </c>
      <c r="C43" s="771" t="s">
        <v>657</v>
      </c>
      <c r="D43" s="772" t="s">
        <v>970</v>
      </c>
      <c r="E43" s="725"/>
      <c r="F43" s="725"/>
      <c r="G43" s="744">
        <f t="array" ref="G43">SUM(IF("155"&amp;C43=KHN&amp;MH,SL))</f>
        <v>90</v>
      </c>
      <c r="H43" s="744">
        <f t="array" ref="H43">SUM(IF("155"&amp;C43=KHN&amp;MH,TH))</f>
        <v>786425</v>
      </c>
      <c r="I43" s="744">
        <f t="array" ref="I43">SUM(IF("155"&amp;C43=KHC&amp;MH,SL))</f>
        <v>90</v>
      </c>
      <c r="J43" s="744">
        <f t="array" ref="J43">SUM(IF("155"&amp;C43=KHC&amp;MH,TH))</f>
        <v>786425</v>
      </c>
      <c r="K43" s="725">
        <f t="shared" si="12"/>
        <v>0</v>
      </c>
      <c r="L43" s="725">
        <f t="shared" si="13"/>
        <v>0</v>
      </c>
    </row>
    <row r="44" spans="1:12" s="751" customFormat="1" ht="18.75" customHeight="1">
      <c r="A44" s="453" t="str">
        <f t="shared" si="14"/>
        <v>TP</v>
      </c>
      <c r="B44" s="770">
        <f t="shared" si="15"/>
        <v>20</v>
      </c>
      <c r="C44" s="773" t="s">
        <v>655</v>
      </c>
      <c r="D44" s="772" t="s">
        <v>970</v>
      </c>
      <c r="E44" s="725"/>
      <c r="F44" s="725"/>
      <c r="G44" s="744">
        <f t="array" ref="G44">SUM(IF("155"&amp;C44=KHN&amp;MH,SL))</f>
        <v>1410</v>
      </c>
      <c r="H44" s="744">
        <f t="array" ref="H44">SUM(IF("155"&amp;C44=KHN&amp;MH,TH))</f>
        <v>14761540</v>
      </c>
      <c r="I44" s="744">
        <f t="array" ref="I44">SUM(IF("155"&amp;C44=KHC&amp;MH,SL))</f>
        <v>1410</v>
      </c>
      <c r="J44" s="744">
        <f t="array" ref="J44">SUM(IF("155"&amp;C44=KHC&amp;MH,TH))</f>
        <v>14761540</v>
      </c>
      <c r="K44" s="725">
        <f t="shared" si="12"/>
        <v>0</v>
      </c>
      <c r="L44" s="725">
        <f t="shared" si="13"/>
        <v>0</v>
      </c>
    </row>
    <row r="45" spans="1:12" s="751" customFormat="1" ht="18.75" customHeight="1">
      <c r="A45" s="453" t="str">
        <f t="shared" si="14"/>
        <v>TP</v>
      </c>
      <c r="B45" s="770">
        <f t="shared" si="15"/>
        <v>21</v>
      </c>
      <c r="C45" s="771" t="s">
        <v>659</v>
      </c>
      <c r="D45" s="772" t="s">
        <v>970</v>
      </c>
      <c r="E45" s="725"/>
      <c r="F45" s="725"/>
      <c r="G45" s="744">
        <f t="array" ref="G45">SUM(IF("155"&amp;C45=KHN&amp;MH,SL))</f>
        <v>210</v>
      </c>
      <c r="H45" s="744">
        <f t="array" ref="H45">SUM(IF("155"&amp;C45=KHN&amp;MH,TH))</f>
        <v>2285083</v>
      </c>
      <c r="I45" s="744">
        <f t="array" ref="I45">SUM(IF("155"&amp;C45=KHC&amp;MH,SL))</f>
        <v>210</v>
      </c>
      <c r="J45" s="744">
        <f t="array" ref="J45">SUM(IF("155"&amp;C45=KHC&amp;MH,TH))</f>
        <v>2285083</v>
      </c>
      <c r="K45" s="725">
        <f t="shared" si="12"/>
        <v>0</v>
      </c>
      <c r="L45" s="725">
        <f t="shared" si="13"/>
        <v>0</v>
      </c>
    </row>
    <row r="46" spans="1:12" s="751" customFormat="1" ht="18.75" customHeight="1">
      <c r="A46" s="453" t="str">
        <f t="shared" si="14"/>
        <v>TP</v>
      </c>
      <c r="B46" s="770">
        <f t="shared" si="15"/>
        <v>22</v>
      </c>
      <c r="C46" s="771" t="s">
        <v>654</v>
      </c>
      <c r="D46" s="772" t="s">
        <v>970</v>
      </c>
      <c r="E46" s="725"/>
      <c r="F46" s="725"/>
      <c r="G46" s="744">
        <f t="array" ref="G46">SUM(IF("155"&amp;C46=KHN&amp;MH,SL))</f>
        <v>630</v>
      </c>
      <c r="H46" s="744">
        <f t="array" ref="H46">SUM(IF("155"&amp;C46=KHN&amp;MH,TH))</f>
        <v>7011051</v>
      </c>
      <c r="I46" s="744">
        <f t="array" ref="I46">SUM(IF("155"&amp;C46=KHC&amp;MH,SL))</f>
        <v>630</v>
      </c>
      <c r="J46" s="744">
        <f t="array" ref="J46">SUM(IF("155"&amp;C46=KHC&amp;MH,TH))</f>
        <v>7011051</v>
      </c>
      <c r="K46" s="725">
        <f t="shared" si="12"/>
        <v>0</v>
      </c>
      <c r="L46" s="725">
        <f t="shared" si="13"/>
        <v>0</v>
      </c>
    </row>
    <row r="47" spans="1:12" s="751" customFormat="1" ht="18.75" customHeight="1">
      <c r="A47" s="453" t="str">
        <f t="shared" si="14"/>
        <v>TP</v>
      </c>
      <c r="B47" s="770">
        <f t="shared" si="15"/>
        <v>23</v>
      </c>
      <c r="C47" s="771" t="s">
        <v>527</v>
      </c>
      <c r="D47" s="772" t="s">
        <v>970</v>
      </c>
      <c r="E47" s="725"/>
      <c r="F47" s="725"/>
      <c r="G47" s="744">
        <f t="array" ref="G47">SUM(IF("155"&amp;C47=KHN&amp;MH,SL))</f>
        <v>698</v>
      </c>
      <c r="H47" s="744">
        <f t="array" ref="H47">SUM(IF("155"&amp;C47=KHN&amp;MH,TH))</f>
        <v>40114378</v>
      </c>
      <c r="I47" s="744">
        <f t="array" ref="I47">SUM(IF("155"&amp;C47=KHC&amp;MH,SL))</f>
        <v>698</v>
      </c>
      <c r="J47" s="744">
        <f t="array" ref="J47">SUM(IF("155"&amp;C47=KHC&amp;MH,TH))</f>
        <v>40114378</v>
      </c>
      <c r="K47" s="725">
        <f t="shared" si="12"/>
        <v>0</v>
      </c>
      <c r="L47" s="725">
        <f t="shared" si="13"/>
        <v>0</v>
      </c>
    </row>
    <row r="48" spans="1:12" s="751" customFormat="1" ht="18.75" customHeight="1">
      <c r="A48" s="453" t="str">
        <f t="shared" si="14"/>
        <v>TP</v>
      </c>
      <c r="B48" s="770">
        <f t="shared" si="15"/>
        <v>24</v>
      </c>
      <c r="C48" s="771" t="s">
        <v>496</v>
      </c>
      <c r="D48" s="772" t="s">
        <v>970</v>
      </c>
      <c r="E48" s="725"/>
      <c r="F48" s="725"/>
      <c r="G48" s="744">
        <f t="array" ref="G48">SUM(IF("155"&amp;C48=KHN&amp;MH,SL))</f>
        <v>235</v>
      </c>
      <c r="H48" s="744">
        <f t="array" ref="H48">SUM(IF("155"&amp;C48=KHN&amp;MH,TH))</f>
        <v>10899185</v>
      </c>
      <c r="I48" s="744">
        <f t="array" ref="I48">SUM(IF("155"&amp;C48=KHC&amp;MH,SL))</f>
        <v>235</v>
      </c>
      <c r="J48" s="744">
        <f t="array" ref="J48">SUM(IF("155"&amp;C48=KHC&amp;MH,TH))</f>
        <v>10899185</v>
      </c>
      <c r="K48" s="725">
        <f t="shared" si="12"/>
        <v>0</v>
      </c>
      <c r="L48" s="725">
        <f t="shared" si="13"/>
        <v>0</v>
      </c>
    </row>
    <row r="49" spans="1:12" s="751" customFormat="1" ht="18.75" customHeight="1">
      <c r="A49" s="453" t="str">
        <f t="shared" si="14"/>
        <v>TP</v>
      </c>
      <c r="B49" s="770">
        <f t="shared" si="15"/>
        <v>25</v>
      </c>
      <c r="C49" s="771" t="s">
        <v>495</v>
      </c>
      <c r="D49" s="772" t="s">
        <v>970</v>
      </c>
      <c r="E49" s="725"/>
      <c r="F49" s="725"/>
      <c r="G49" s="744">
        <f t="array" ref="G49">SUM(IF("155"&amp;C49=KHN&amp;MH,SL))</f>
        <v>100</v>
      </c>
      <c r="H49" s="744">
        <f t="array" ref="H49">SUM(IF("155"&amp;C49=KHN&amp;MH,TH))</f>
        <v>3231431</v>
      </c>
      <c r="I49" s="744">
        <f t="array" ref="I49">SUM(IF("155"&amp;C49=KHC&amp;MH,SL))</f>
        <v>100</v>
      </c>
      <c r="J49" s="744">
        <f t="array" ref="J49">SUM(IF("155"&amp;C49=KHC&amp;MH,TH))</f>
        <v>3231431</v>
      </c>
      <c r="K49" s="725">
        <f t="shared" si="12"/>
        <v>0</v>
      </c>
      <c r="L49" s="725">
        <f t="shared" si="13"/>
        <v>0</v>
      </c>
    </row>
    <row r="50" spans="1:12" s="751" customFormat="1" ht="18.75" customHeight="1">
      <c r="A50" s="453" t="str">
        <f t="shared" si="14"/>
        <v>TP</v>
      </c>
      <c r="B50" s="770">
        <f t="shared" si="15"/>
        <v>26</v>
      </c>
      <c r="C50" s="771" t="s">
        <v>664</v>
      </c>
      <c r="D50" s="772" t="s">
        <v>970</v>
      </c>
      <c r="E50" s="725"/>
      <c r="F50" s="725"/>
      <c r="G50" s="744">
        <f t="array" ref="G50">SUM(IF("155"&amp;C50=KHN&amp;MH,SL))</f>
        <v>42</v>
      </c>
      <c r="H50" s="744">
        <f t="array" ref="H50">SUM(IF("155"&amp;C50=KHN&amp;MH,TH))</f>
        <v>2810914</v>
      </c>
      <c r="I50" s="744">
        <f t="array" ref="I50">SUM(IF("155"&amp;C50=KHC&amp;MH,SL))</f>
        <v>42</v>
      </c>
      <c r="J50" s="744">
        <f t="array" ref="J50">SUM(IF("155"&amp;C50=KHC&amp;MH,TH))</f>
        <v>2810914</v>
      </c>
      <c r="K50" s="725">
        <f t="shared" si="12"/>
        <v>0</v>
      </c>
      <c r="L50" s="725">
        <f t="shared" si="13"/>
        <v>0</v>
      </c>
    </row>
    <row r="51" spans="1:12" s="751" customFormat="1" ht="18.75" customHeight="1">
      <c r="A51" s="453" t="str">
        <f t="shared" si="14"/>
        <v>TP</v>
      </c>
      <c r="B51" s="770">
        <f t="shared" si="15"/>
        <v>27</v>
      </c>
      <c r="C51" s="771" t="s">
        <v>692</v>
      </c>
      <c r="D51" s="772" t="s">
        <v>970</v>
      </c>
      <c r="E51" s="725"/>
      <c r="F51" s="725"/>
      <c r="G51" s="744">
        <f t="array" ref="G51">SUM(IF("155"&amp;C51=KHN&amp;MH,SL))</f>
        <v>5</v>
      </c>
      <c r="H51" s="744">
        <f t="array" ref="H51">SUM(IF("155"&amp;C51=KHN&amp;MH,TH))</f>
        <v>292553</v>
      </c>
      <c r="I51" s="744">
        <f t="array" ref="I51">SUM(IF("155"&amp;C51=KHC&amp;MH,SL))</f>
        <v>5</v>
      </c>
      <c r="J51" s="744">
        <f t="array" ref="J51">SUM(IF("155"&amp;C51=KHC&amp;MH,TH))</f>
        <v>292553</v>
      </c>
      <c r="K51" s="725">
        <f t="shared" si="12"/>
        <v>0</v>
      </c>
      <c r="L51" s="725">
        <f t="shared" si="13"/>
        <v>0</v>
      </c>
    </row>
    <row r="52" spans="1:12" s="751" customFormat="1" ht="18.75" customHeight="1">
      <c r="A52" s="453" t="str">
        <f t="shared" si="14"/>
        <v>TP</v>
      </c>
      <c r="B52" s="770">
        <f t="shared" si="15"/>
        <v>28</v>
      </c>
      <c r="C52" s="771" t="s">
        <v>691</v>
      </c>
      <c r="D52" s="772" t="s">
        <v>970</v>
      </c>
      <c r="E52" s="725"/>
      <c r="F52" s="725"/>
      <c r="G52" s="744">
        <f t="array" ref="G52">SUM(IF("155"&amp;C52=KHN&amp;MH,SL))</f>
        <v>25</v>
      </c>
      <c r="H52" s="744">
        <f t="array" ref="H52">SUM(IF("155"&amp;C52=KHN&amp;MH,TH))</f>
        <v>1807055</v>
      </c>
      <c r="I52" s="744">
        <f t="array" ref="I52">SUM(IF("155"&amp;C52=KHC&amp;MH,SL))</f>
        <v>25</v>
      </c>
      <c r="J52" s="744">
        <f t="array" ref="J52">SUM(IF("155"&amp;C52=KHC&amp;MH,TH))</f>
        <v>1807055</v>
      </c>
      <c r="K52" s="725">
        <f t="shared" si="12"/>
        <v>0</v>
      </c>
      <c r="L52" s="725">
        <f t="shared" si="13"/>
        <v>0</v>
      </c>
    </row>
    <row r="53" spans="1:12" s="751" customFormat="1" ht="18.75" customHeight="1">
      <c r="A53" s="453" t="str">
        <f t="shared" si="14"/>
        <v>TP</v>
      </c>
      <c r="B53" s="770">
        <f t="shared" si="15"/>
        <v>29</v>
      </c>
      <c r="C53" s="771" t="s">
        <v>693</v>
      </c>
      <c r="D53" s="772" t="s">
        <v>970</v>
      </c>
      <c r="E53" s="725"/>
      <c r="F53" s="725"/>
      <c r="G53" s="744">
        <f t="array" ref="G53">SUM(IF("155"&amp;C53=KHN&amp;MH,SL))</f>
        <v>100</v>
      </c>
      <c r="H53" s="744">
        <f t="array" ref="H53">SUM(IF("155"&amp;C53=KHN&amp;MH,TH))</f>
        <v>4382584</v>
      </c>
      <c r="I53" s="744">
        <f t="array" ref="I53">SUM(IF("155"&amp;C53=KHC&amp;MH,SL))</f>
        <v>100</v>
      </c>
      <c r="J53" s="744">
        <f t="array" ref="J53">SUM(IF("155"&amp;C53=KHC&amp;MH,TH))</f>
        <v>4382584</v>
      </c>
      <c r="K53" s="725">
        <f t="shared" si="12"/>
        <v>0</v>
      </c>
      <c r="L53" s="725">
        <f t="shared" si="13"/>
        <v>0</v>
      </c>
    </row>
    <row r="54" spans="1:12" s="751" customFormat="1" ht="18.75" customHeight="1">
      <c r="A54" s="453" t="str">
        <f t="shared" si="14"/>
        <v>TP</v>
      </c>
      <c r="B54" s="770">
        <f t="shared" si="15"/>
        <v>30</v>
      </c>
      <c r="C54" s="771" t="s">
        <v>694</v>
      </c>
      <c r="D54" s="772" t="s">
        <v>970</v>
      </c>
      <c r="E54" s="725"/>
      <c r="F54" s="725"/>
      <c r="G54" s="744">
        <f t="array" ref="G54">SUM(IF("155"&amp;C54=KHN&amp;MH,SL))</f>
        <v>12</v>
      </c>
      <c r="H54" s="744">
        <f t="array" ref="H54">SUM(IF("155"&amp;C54=KHN&amp;MH,TH))</f>
        <v>1022603</v>
      </c>
      <c r="I54" s="744">
        <f t="array" ref="I54">SUM(IF("155"&amp;C54=KHC&amp;MH,SL))</f>
        <v>12</v>
      </c>
      <c r="J54" s="744">
        <f t="array" ref="J54">SUM(IF("155"&amp;C54=KHC&amp;MH,TH))</f>
        <v>1022603</v>
      </c>
      <c r="K54" s="725">
        <f t="shared" si="12"/>
        <v>0</v>
      </c>
      <c r="L54" s="725">
        <f t="shared" si="13"/>
        <v>0</v>
      </c>
    </row>
    <row r="55" spans="1:12" s="751" customFormat="1" ht="18.75" customHeight="1">
      <c r="A55" s="453" t="str">
        <f t="shared" si="14"/>
        <v>TP</v>
      </c>
      <c r="B55" s="770">
        <f t="shared" si="15"/>
        <v>31</v>
      </c>
      <c r="C55" s="771" t="s">
        <v>832</v>
      </c>
      <c r="D55" s="772" t="s">
        <v>970</v>
      </c>
      <c r="E55" s="725"/>
      <c r="F55" s="725"/>
      <c r="G55" s="744">
        <f t="array" ref="G55">SUM(IF("155"&amp;C55=KHN&amp;MH,SL))</f>
        <v>4000</v>
      </c>
      <c r="H55" s="744">
        <f t="array" ref="H55">SUM(IF("155"&amp;C55=KHN&amp;MH,TH))</f>
        <v>6999961</v>
      </c>
      <c r="I55" s="744">
        <f t="array" ref="I55">SUM(IF("155"&amp;C55=KHC&amp;MH,SL))</f>
        <v>4000</v>
      </c>
      <c r="J55" s="744">
        <f t="array" ref="J55">SUM(IF("155"&amp;C55=KHC&amp;MH,TH))</f>
        <v>6999961</v>
      </c>
      <c r="K55" s="725">
        <f t="shared" si="12"/>
        <v>0</v>
      </c>
      <c r="L55" s="725">
        <f t="shared" si="13"/>
        <v>0</v>
      </c>
    </row>
    <row r="56" spans="1:12" s="751" customFormat="1" ht="18" customHeight="1">
      <c r="A56" s="453" t="str">
        <f t="shared" si="14"/>
        <v>TP</v>
      </c>
      <c r="B56" s="770">
        <f t="shared" si="15"/>
        <v>32</v>
      </c>
      <c r="C56" s="771" t="s">
        <v>519</v>
      </c>
      <c r="D56" s="772" t="s">
        <v>970</v>
      </c>
      <c r="E56" s="725"/>
      <c r="F56" s="725"/>
      <c r="G56" s="744">
        <f t="array" ref="G56">SUM(IF("155"&amp;C56=KHN&amp;MH,SL))</f>
        <v>302</v>
      </c>
      <c r="H56" s="744">
        <f t="array" ref="H56">SUM(IF("155"&amp;C56=KHN&amp;MH,TH))</f>
        <v>1842245</v>
      </c>
      <c r="I56" s="744">
        <f t="array" ref="I56">SUM(IF("155"&amp;C56=KHC&amp;MH,SL))</f>
        <v>302</v>
      </c>
      <c r="J56" s="744">
        <f t="array" ref="J56">SUM(IF("155"&amp;C56=KHC&amp;MH,TH))</f>
        <v>1842245</v>
      </c>
      <c r="K56" s="725">
        <f t="shared" si="12"/>
        <v>0</v>
      </c>
      <c r="L56" s="725">
        <f t="shared" si="13"/>
        <v>0</v>
      </c>
    </row>
    <row r="57" spans="1:12" s="751" customFormat="1" ht="18" customHeight="1">
      <c r="A57" s="453" t="str">
        <f t="shared" si="14"/>
        <v>TP</v>
      </c>
      <c r="B57" s="770">
        <f t="shared" si="15"/>
        <v>33</v>
      </c>
      <c r="C57" s="757" t="s">
        <v>541</v>
      </c>
      <c r="D57" s="772" t="s">
        <v>970</v>
      </c>
      <c r="E57" s="725"/>
      <c r="F57" s="725"/>
      <c r="G57" s="744">
        <f t="array" ref="G57">SUM(IF("155"&amp;C57=KHN&amp;MH,SL))</f>
        <v>1027</v>
      </c>
      <c r="H57" s="744">
        <f t="array" ref="H57">SUM(IF("155"&amp;C57=KHN&amp;MH,TH))</f>
        <v>4740971</v>
      </c>
      <c r="I57" s="744">
        <f t="array" ref="I57">SUM(IF("155"&amp;C57=KHC&amp;MH,SL))</f>
        <v>1027</v>
      </c>
      <c r="J57" s="744">
        <f t="array" ref="J57">SUM(IF("155"&amp;C57=KHC&amp;MH,TH))</f>
        <v>4740971</v>
      </c>
      <c r="K57" s="725">
        <f t="shared" ref="K57:K88" si="16">E57+G57-I57</f>
        <v>0</v>
      </c>
      <c r="L57" s="725">
        <f t="shared" ref="L57:L88" si="17">F57+H57-J57</f>
        <v>0</v>
      </c>
    </row>
    <row r="58" spans="1:12" s="751" customFormat="1" ht="18.75" customHeight="1">
      <c r="A58" s="453" t="str">
        <f t="shared" si="14"/>
        <v>TP</v>
      </c>
      <c r="B58" s="770">
        <f t="shared" si="15"/>
        <v>34</v>
      </c>
      <c r="C58" s="773" t="s">
        <v>650</v>
      </c>
      <c r="D58" s="772" t="s">
        <v>970</v>
      </c>
      <c r="E58" s="725"/>
      <c r="F58" s="725"/>
      <c r="G58" s="744">
        <f t="array" ref="G58">SUM(IF("155"&amp;C58=KHN&amp;MH,SL))</f>
        <v>110</v>
      </c>
      <c r="H58" s="744">
        <f t="array" ref="H58">SUM(IF("155"&amp;C58=KHN&amp;MH,TH))</f>
        <v>770762</v>
      </c>
      <c r="I58" s="744">
        <f t="array" ref="I58">SUM(IF("155"&amp;C58=KHC&amp;MH,SL))</f>
        <v>110</v>
      </c>
      <c r="J58" s="744">
        <f t="array" ref="J58">SUM(IF("155"&amp;C58=KHC&amp;MH,TH))</f>
        <v>770762</v>
      </c>
      <c r="K58" s="725">
        <f t="shared" si="16"/>
        <v>0</v>
      </c>
      <c r="L58" s="725">
        <f t="shared" si="17"/>
        <v>0</v>
      </c>
    </row>
    <row r="59" spans="1:12" s="751" customFormat="1" ht="18.75" customHeight="1">
      <c r="A59" s="453" t="str">
        <f t="shared" si="14"/>
        <v>TP</v>
      </c>
      <c r="B59" s="770">
        <f t="shared" si="15"/>
        <v>35</v>
      </c>
      <c r="C59" s="773" t="s">
        <v>807</v>
      </c>
      <c r="D59" s="772" t="s">
        <v>970</v>
      </c>
      <c r="E59" s="725"/>
      <c r="F59" s="725"/>
      <c r="G59" s="744">
        <f t="array" ref="G59">SUM(IF("155"&amp;C59=KHN&amp;MH,SL))</f>
        <v>205</v>
      </c>
      <c r="H59" s="744">
        <f t="array" ref="H59">SUM(IF("155"&amp;C59=KHN&amp;MH,TH))</f>
        <v>483530</v>
      </c>
      <c r="I59" s="744">
        <f t="array" ref="I59">SUM(IF("155"&amp;C59=KHC&amp;MH,SL))</f>
        <v>205</v>
      </c>
      <c r="J59" s="744">
        <f t="array" ref="J59">SUM(IF("155"&amp;C59=KHC&amp;MH,TH))</f>
        <v>483530</v>
      </c>
      <c r="K59" s="725">
        <f t="shared" si="16"/>
        <v>0</v>
      </c>
      <c r="L59" s="725">
        <f t="shared" si="17"/>
        <v>0</v>
      </c>
    </row>
    <row r="60" spans="1:12" s="751" customFormat="1" ht="18.75" customHeight="1">
      <c r="A60" s="453" t="str">
        <f t="shared" si="14"/>
        <v>TP</v>
      </c>
      <c r="B60" s="770">
        <f t="shared" si="15"/>
        <v>36</v>
      </c>
      <c r="C60" s="773" t="s">
        <v>539</v>
      </c>
      <c r="D60" s="772" t="s">
        <v>970</v>
      </c>
      <c r="E60" s="725"/>
      <c r="F60" s="725"/>
      <c r="G60" s="744">
        <f t="array" ref="G60">SUM(IF("155"&amp;C60=KHN&amp;MH,SL))</f>
        <v>2660</v>
      </c>
      <c r="H60" s="744">
        <f t="array" ref="H60">SUM(IF("155"&amp;C60=KHN&amp;MH,TH))</f>
        <v>14252919</v>
      </c>
      <c r="I60" s="744">
        <f t="array" ref="I60">SUM(IF("155"&amp;C60=KHC&amp;MH,SL))</f>
        <v>2660</v>
      </c>
      <c r="J60" s="744">
        <f t="array" ref="J60">SUM(IF("155"&amp;C60=KHC&amp;MH,TH))</f>
        <v>14252919</v>
      </c>
      <c r="K60" s="725">
        <f t="shared" si="16"/>
        <v>0</v>
      </c>
      <c r="L60" s="725">
        <f t="shared" si="17"/>
        <v>0</v>
      </c>
    </row>
    <row r="61" spans="1:12" s="751" customFormat="1" ht="18.75" customHeight="1">
      <c r="A61" s="453" t="str">
        <f t="shared" si="14"/>
        <v>TP</v>
      </c>
      <c r="B61" s="770">
        <f t="shared" si="15"/>
        <v>37</v>
      </c>
      <c r="C61" s="771" t="s">
        <v>806</v>
      </c>
      <c r="D61" s="772" t="s">
        <v>970</v>
      </c>
      <c r="E61" s="725"/>
      <c r="F61" s="725"/>
      <c r="G61" s="744">
        <f t="array" ref="G61">SUM(IF("155"&amp;C61=KHN&amp;MH,SL))</f>
        <v>55</v>
      </c>
      <c r="H61" s="744">
        <f t="array" ref="H61">SUM(IF("155"&amp;C61=KHN&amp;MH,TH))</f>
        <v>376628</v>
      </c>
      <c r="I61" s="744">
        <f t="array" ref="I61">SUM(IF("155"&amp;C61=KHC&amp;MH,SL))</f>
        <v>55</v>
      </c>
      <c r="J61" s="744">
        <f t="array" ref="J61">SUM(IF("155"&amp;C61=KHC&amp;MH,TH))</f>
        <v>376628</v>
      </c>
      <c r="K61" s="725">
        <f t="shared" si="16"/>
        <v>0</v>
      </c>
      <c r="L61" s="725">
        <f t="shared" si="17"/>
        <v>0</v>
      </c>
    </row>
    <row r="62" spans="1:12" s="751" customFormat="1" ht="18.75" customHeight="1">
      <c r="A62" s="453" t="str">
        <f t="shared" si="14"/>
        <v>TP</v>
      </c>
      <c r="B62" s="770">
        <f t="shared" si="15"/>
        <v>38</v>
      </c>
      <c r="C62" s="771" t="s">
        <v>663</v>
      </c>
      <c r="D62" s="772" t="s">
        <v>970</v>
      </c>
      <c r="E62" s="725"/>
      <c r="F62" s="725"/>
      <c r="G62" s="744">
        <f t="array" ref="G62">SUM(IF("155"&amp;C62=KHN&amp;MH,SL))</f>
        <v>200</v>
      </c>
      <c r="H62" s="744">
        <f t="array" ref="H62">SUM(IF("155"&amp;C62=KHN&amp;MH,TH))</f>
        <v>1417873</v>
      </c>
      <c r="I62" s="744">
        <f t="array" ref="I62">SUM(IF("155"&amp;C62=KHC&amp;MH,SL))</f>
        <v>200</v>
      </c>
      <c r="J62" s="744">
        <f t="array" ref="J62">SUM(IF("155"&amp;C62=KHC&amp;MH,TH))</f>
        <v>1417873</v>
      </c>
      <c r="K62" s="725">
        <f t="shared" si="16"/>
        <v>0</v>
      </c>
      <c r="L62" s="725">
        <f t="shared" si="17"/>
        <v>0</v>
      </c>
    </row>
    <row r="63" spans="1:12" s="751" customFormat="1" ht="18.75" customHeight="1">
      <c r="A63" s="453" t="str">
        <f t="shared" si="14"/>
        <v>TP</v>
      </c>
      <c r="B63" s="770">
        <f t="shared" si="15"/>
        <v>39</v>
      </c>
      <c r="C63" s="757" t="s">
        <v>522</v>
      </c>
      <c r="D63" s="772" t="s">
        <v>970</v>
      </c>
      <c r="E63" s="725"/>
      <c r="F63" s="725"/>
      <c r="G63" s="744">
        <f t="array" ref="G63">SUM(IF("155"&amp;C63=KHN&amp;MH,SL))</f>
        <v>1015</v>
      </c>
      <c r="H63" s="744">
        <f t="array" ref="H63">SUM(IF("155"&amp;C63=KHN&amp;MH,TH))</f>
        <v>5864697</v>
      </c>
      <c r="I63" s="744">
        <f t="array" ref="I63">SUM(IF("155"&amp;C63=KHC&amp;MH,SL))</f>
        <v>1015</v>
      </c>
      <c r="J63" s="744">
        <f t="array" ref="J63">SUM(IF("155"&amp;C63=KHC&amp;MH,TH))</f>
        <v>5864697</v>
      </c>
      <c r="K63" s="725">
        <f t="shared" si="16"/>
        <v>0</v>
      </c>
      <c r="L63" s="725">
        <f t="shared" si="17"/>
        <v>0</v>
      </c>
    </row>
    <row r="64" spans="1:12" s="751" customFormat="1" ht="18.75" customHeight="1">
      <c r="A64" s="453" t="str">
        <f t="shared" si="14"/>
        <v>TP</v>
      </c>
      <c r="B64" s="770">
        <f t="shared" si="15"/>
        <v>40</v>
      </c>
      <c r="C64" s="773" t="s">
        <v>846</v>
      </c>
      <c r="D64" s="772" t="s">
        <v>970</v>
      </c>
      <c r="E64" s="725"/>
      <c r="F64" s="725"/>
      <c r="G64" s="744">
        <f t="array" ref="G64">SUM(IF("155"&amp;C64=KHN&amp;MH,SL))</f>
        <v>205</v>
      </c>
      <c r="H64" s="744">
        <f t="array" ref="H64">SUM(IF("155"&amp;C64=KHN&amp;MH,TH))</f>
        <v>1060646</v>
      </c>
      <c r="I64" s="744">
        <f t="array" ref="I64">SUM(IF("155"&amp;C64=KHC&amp;MH,SL))</f>
        <v>205</v>
      </c>
      <c r="J64" s="744">
        <f t="array" ref="J64">SUM(IF("155"&amp;C64=KHC&amp;MH,TH))</f>
        <v>1060646</v>
      </c>
      <c r="K64" s="725">
        <f t="shared" si="16"/>
        <v>0</v>
      </c>
      <c r="L64" s="725">
        <f t="shared" si="17"/>
        <v>0</v>
      </c>
    </row>
    <row r="65" spans="1:12" s="751" customFormat="1" ht="18.75" customHeight="1">
      <c r="A65" s="453" t="str">
        <f t="shared" si="14"/>
        <v>TP</v>
      </c>
      <c r="B65" s="770">
        <f t="shared" si="15"/>
        <v>41</v>
      </c>
      <c r="C65" s="771" t="s">
        <v>649</v>
      </c>
      <c r="D65" s="772" t="s">
        <v>970</v>
      </c>
      <c r="E65" s="725"/>
      <c r="F65" s="725"/>
      <c r="G65" s="744">
        <f t="array" ref="G65">SUM(IF("155"&amp;C65=KHN&amp;MH,SL))</f>
        <v>412</v>
      </c>
      <c r="H65" s="744">
        <f t="array" ref="H65">SUM(IF("155"&amp;C65=KHN&amp;MH,TH))</f>
        <v>3532152</v>
      </c>
      <c r="I65" s="744">
        <f t="array" ref="I65">SUM(IF("155"&amp;C65=KHC&amp;MH,SL))</f>
        <v>412</v>
      </c>
      <c r="J65" s="744">
        <f t="array" ref="J65">SUM(IF("155"&amp;C65=KHC&amp;MH,TH))</f>
        <v>3532152</v>
      </c>
      <c r="K65" s="725">
        <f t="shared" si="16"/>
        <v>0</v>
      </c>
      <c r="L65" s="725">
        <f t="shared" si="17"/>
        <v>0</v>
      </c>
    </row>
    <row r="66" spans="1:12" s="751" customFormat="1" ht="18.75" customHeight="1">
      <c r="A66" s="453" t="str">
        <f t="shared" si="14"/>
        <v>TP</v>
      </c>
      <c r="B66" s="770">
        <f t="shared" si="15"/>
        <v>42</v>
      </c>
      <c r="C66" s="771" t="s">
        <v>502</v>
      </c>
      <c r="D66" s="772" t="s">
        <v>970</v>
      </c>
      <c r="E66" s="725"/>
      <c r="F66" s="725"/>
      <c r="G66" s="744">
        <f t="array" ref="G66">SUM(IF("155"&amp;C66=KHN&amp;MH,SL))</f>
        <v>254</v>
      </c>
      <c r="H66" s="744">
        <f t="array" ref="H66">SUM(IF("155"&amp;C66=KHN&amp;MH,TH))</f>
        <v>2554479</v>
      </c>
      <c r="I66" s="744">
        <f t="array" ref="I66">SUM(IF("155"&amp;C66=KHC&amp;MH,SL))</f>
        <v>254</v>
      </c>
      <c r="J66" s="744">
        <f t="array" ref="J66">SUM(IF("155"&amp;C66=KHC&amp;MH,TH))</f>
        <v>2554479</v>
      </c>
      <c r="K66" s="725">
        <f t="shared" si="16"/>
        <v>0</v>
      </c>
      <c r="L66" s="725">
        <f t="shared" si="17"/>
        <v>0</v>
      </c>
    </row>
    <row r="67" spans="1:12" s="751" customFormat="1" ht="18.75" customHeight="1">
      <c r="A67" s="453" t="str">
        <f t="shared" si="14"/>
        <v>TP</v>
      </c>
      <c r="B67" s="770">
        <f t="shared" si="15"/>
        <v>43</v>
      </c>
      <c r="C67" s="771" t="s">
        <v>689</v>
      </c>
      <c r="D67" s="772" t="s">
        <v>970</v>
      </c>
      <c r="E67" s="725"/>
      <c r="F67" s="725"/>
      <c r="G67" s="744">
        <f t="array" ref="G67">SUM(IF("155"&amp;C67=KHN&amp;MH,SL))</f>
        <v>1892</v>
      </c>
      <c r="H67" s="744">
        <f t="array" ref="H67">SUM(IF("155"&amp;C67=KHN&amp;MH,TH))</f>
        <v>9788989</v>
      </c>
      <c r="I67" s="744">
        <f t="array" ref="I67">SUM(IF("155"&amp;C67=KHC&amp;MH,SL))</f>
        <v>1892</v>
      </c>
      <c r="J67" s="744">
        <f t="array" ref="J67">SUM(IF("155"&amp;C67=KHC&amp;MH,TH))</f>
        <v>9788989</v>
      </c>
      <c r="K67" s="725">
        <f t="shared" si="16"/>
        <v>0</v>
      </c>
      <c r="L67" s="725">
        <f t="shared" si="17"/>
        <v>0</v>
      </c>
    </row>
    <row r="68" spans="1:12" s="751" customFormat="1" ht="18.75" customHeight="1">
      <c r="A68" s="453" t="str">
        <f t="shared" si="14"/>
        <v>TP</v>
      </c>
      <c r="B68" s="770">
        <f t="shared" si="15"/>
        <v>44</v>
      </c>
      <c r="C68" s="757" t="s">
        <v>508</v>
      </c>
      <c r="D68" s="772" t="s">
        <v>970</v>
      </c>
      <c r="E68" s="725"/>
      <c r="F68" s="725"/>
      <c r="G68" s="744">
        <f t="array" ref="G68">SUM(IF("155"&amp;C68=KHN&amp;MH,SL))</f>
        <v>4035</v>
      </c>
      <c r="H68" s="744">
        <f t="array" ref="H68">SUM(IF("155"&amp;C68=KHN&amp;MH,TH))</f>
        <v>22950992</v>
      </c>
      <c r="I68" s="744">
        <f t="array" ref="I68">SUM(IF("155"&amp;C68=KHC&amp;MH,SL))</f>
        <v>4035</v>
      </c>
      <c r="J68" s="744">
        <f t="array" ref="J68">SUM(IF("155"&amp;C68=KHC&amp;MH,TH))</f>
        <v>22950992</v>
      </c>
      <c r="K68" s="725">
        <f t="shared" si="16"/>
        <v>0</v>
      </c>
      <c r="L68" s="725">
        <f t="shared" si="17"/>
        <v>0</v>
      </c>
    </row>
    <row r="69" spans="1:12" s="751" customFormat="1" ht="19.5" customHeight="1">
      <c r="A69" s="453" t="str">
        <f t="shared" si="14"/>
        <v>TP</v>
      </c>
      <c r="B69" s="770">
        <f t="shared" si="15"/>
        <v>45</v>
      </c>
      <c r="C69" s="771" t="s">
        <v>851</v>
      </c>
      <c r="D69" s="772" t="s">
        <v>970</v>
      </c>
      <c r="E69" s="725"/>
      <c r="F69" s="725"/>
      <c r="G69" s="744">
        <f t="array" ref="G69">SUM(IF("155"&amp;C69=KHN&amp;MH,SL))</f>
        <v>50</v>
      </c>
      <c r="H69" s="744">
        <f t="array" ref="H69">SUM(IF("155"&amp;C69=KHN&amp;MH,TH))</f>
        <v>228260</v>
      </c>
      <c r="I69" s="744">
        <f t="array" ref="I69">SUM(IF("155"&amp;C69=KHC&amp;MH,SL))</f>
        <v>50</v>
      </c>
      <c r="J69" s="744">
        <f t="array" ref="J69">SUM(IF("155"&amp;C69=KHC&amp;MH,TH))</f>
        <v>228260</v>
      </c>
      <c r="K69" s="725">
        <f t="shared" si="16"/>
        <v>0</v>
      </c>
      <c r="L69" s="725">
        <f t="shared" si="17"/>
        <v>0</v>
      </c>
    </row>
    <row r="70" spans="1:12" s="751" customFormat="1" ht="19.5" customHeight="1">
      <c r="A70" s="453" t="str">
        <f t="shared" si="14"/>
        <v>TP</v>
      </c>
      <c r="B70" s="770">
        <f t="shared" si="15"/>
        <v>46</v>
      </c>
      <c r="C70" s="771" t="s">
        <v>850</v>
      </c>
      <c r="D70" s="772" t="s">
        <v>970</v>
      </c>
      <c r="E70" s="725"/>
      <c r="F70" s="725"/>
      <c r="G70" s="744">
        <f t="array" ref="G70">SUM(IF("155"&amp;C70=KHN&amp;MH,SL))</f>
        <v>180</v>
      </c>
      <c r="H70" s="744">
        <f t="array" ref="H70">SUM(IF("155"&amp;C70=KHN&amp;MH,TH))</f>
        <v>1013473</v>
      </c>
      <c r="I70" s="744">
        <f t="array" ref="I70">SUM(IF("155"&amp;C70=KHC&amp;MH,SL))</f>
        <v>180</v>
      </c>
      <c r="J70" s="744">
        <f t="array" ref="J70">SUM(IF("155"&amp;C70=KHC&amp;MH,TH))</f>
        <v>1013473</v>
      </c>
      <c r="K70" s="725">
        <f t="shared" si="16"/>
        <v>0</v>
      </c>
      <c r="L70" s="725">
        <f t="shared" si="17"/>
        <v>0</v>
      </c>
    </row>
    <row r="71" spans="1:12" s="751" customFormat="1" ht="19.5" customHeight="1">
      <c r="A71" s="453" t="str">
        <f t="shared" si="14"/>
        <v>TP</v>
      </c>
      <c r="B71" s="770">
        <f t="shared" si="15"/>
        <v>47</v>
      </c>
      <c r="C71" s="771" t="s">
        <v>849</v>
      </c>
      <c r="D71" s="772" t="s">
        <v>970</v>
      </c>
      <c r="E71" s="725"/>
      <c r="F71" s="725"/>
      <c r="G71" s="744">
        <f t="array" ref="G71">SUM(IF("155"&amp;C71=KHN&amp;MH,SL))</f>
        <v>292</v>
      </c>
      <c r="H71" s="744">
        <f t="array" ref="H71">SUM(IF("155"&amp;C71=KHN&amp;MH,TH))</f>
        <v>1955119</v>
      </c>
      <c r="I71" s="744">
        <f t="array" ref="I71">SUM(IF("155"&amp;C71=KHC&amp;MH,SL))</f>
        <v>292</v>
      </c>
      <c r="J71" s="744">
        <f t="array" ref="J71">SUM(IF("155"&amp;C71=KHC&amp;MH,TH))</f>
        <v>1955119</v>
      </c>
      <c r="K71" s="725">
        <f t="shared" si="16"/>
        <v>0</v>
      </c>
      <c r="L71" s="725">
        <f t="shared" si="17"/>
        <v>0</v>
      </c>
    </row>
    <row r="72" spans="1:12" s="751" customFormat="1" ht="19.5" customHeight="1">
      <c r="A72" s="453" t="str">
        <f t="shared" si="14"/>
        <v>TP</v>
      </c>
      <c r="B72" s="770">
        <f t="shared" si="15"/>
        <v>48</v>
      </c>
      <c r="C72" s="771" t="s">
        <v>677</v>
      </c>
      <c r="D72" s="772" t="s">
        <v>970</v>
      </c>
      <c r="E72" s="725"/>
      <c r="F72" s="725"/>
      <c r="G72" s="744">
        <f t="array" ref="G72">SUM(IF("155"&amp;C72=KHN&amp;MH,SL))</f>
        <v>105</v>
      </c>
      <c r="H72" s="744">
        <f t="array" ref="H72">SUM(IF("155"&amp;C72=KHN&amp;MH,TH))</f>
        <v>838854</v>
      </c>
      <c r="I72" s="744">
        <f t="array" ref="I72">SUM(IF("155"&amp;C72=KHC&amp;MH,SL))</f>
        <v>105</v>
      </c>
      <c r="J72" s="744">
        <f t="array" ref="J72">SUM(IF("155"&amp;C72=KHC&amp;MH,TH))</f>
        <v>838854</v>
      </c>
      <c r="K72" s="725">
        <f t="shared" si="16"/>
        <v>0</v>
      </c>
      <c r="L72" s="725">
        <f t="shared" si="17"/>
        <v>0</v>
      </c>
    </row>
    <row r="73" spans="1:12" s="751" customFormat="1" ht="19.5" customHeight="1">
      <c r="A73" s="453" t="str">
        <f t="shared" si="14"/>
        <v>TP</v>
      </c>
      <c r="B73" s="770">
        <f t="shared" si="15"/>
        <v>49</v>
      </c>
      <c r="C73" s="771" t="s">
        <v>852</v>
      </c>
      <c r="D73" s="772" t="s">
        <v>970</v>
      </c>
      <c r="E73" s="725"/>
      <c r="F73" s="725"/>
      <c r="G73" s="744">
        <f t="array" ref="G73">SUM(IF("155"&amp;C73=KHN&amp;MH,SL))</f>
        <v>554</v>
      </c>
      <c r="H73" s="744">
        <f t="array" ref="H73">SUM(IF("155"&amp;C73=KHN&amp;MH,TH))</f>
        <v>4973929</v>
      </c>
      <c r="I73" s="744">
        <f t="array" ref="I73">SUM(IF("155"&amp;C73=KHC&amp;MH,SL))</f>
        <v>554</v>
      </c>
      <c r="J73" s="744">
        <f t="array" ref="J73">SUM(IF("155"&amp;C73=KHC&amp;MH,TH))</f>
        <v>4973929</v>
      </c>
      <c r="K73" s="725">
        <f t="shared" si="16"/>
        <v>0</v>
      </c>
      <c r="L73" s="725">
        <f t="shared" si="17"/>
        <v>0</v>
      </c>
    </row>
    <row r="74" spans="1:12" s="751" customFormat="1" ht="19.5" customHeight="1">
      <c r="A74" s="453" t="str">
        <f t="shared" si="14"/>
        <v>TP</v>
      </c>
      <c r="B74" s="770">
        <f t="shared" si="15"/>
        <v>50</v>
      </c>
      <c r="C74" s="757" t="s">
        <v>512</v>
      </c>
      <c r="D74" s="772" t="s">
        <v>970</v>
      </c>
      <c r="E74" s="725"/>
      <c r="F74" s="725"/>
      <c r="G74" s="744">
        <f t="array" ref="G74">SUM(IF("155"&amp;C74=KHN&amp;MH,SL))</f>
        <v>473</v>
      </c>
      <c r="H74" s="744">
        <f t="array" ref="H74">SUM(IF("155"&amp;C74=KHN&amp;MH,TH))</f>
        <v>3158312</v>
      </c>
      <c r="I74" s="744">
        <f t="array" ref="I74">SUM(IF("155"&amp;C74=KHC&amp;MH,SL))</f>
        <v>473</v>
      </c>
      <c r="J74" s="744">
        <f t="array" ref="J74">SUM(IF("155"&amp;C74=KHC&amp;MH,TH))</f>
        <v>3158312</v>
      </c>
      <c r="K74" s="725">
        <f t="shared" si="16"/>
        <v>0</v>
      </c>
      <c r="L74" s="725">
        <f t="shared" si="17"/>
        <v>0</v>
      </c>
    </row>
    <row r="75" spans="1:12" s="751" customFormat="1" ht="19.5" customHeight="1">
      <c r="A75" s="453" t="str">
        <f t="shared" si="14"/>
        <v>TP</v>
      </c>
      <c r="B75" s="770">
        <f t="shared" si="15"/>
        <v>51</v>
      </c>
      <c r="C75" s="773" t="s">
        <v>805</v>
      </c>
      <c r="D75" s="772" t="s">
        <v>970</v>
      </c>
      <c r="E75" s="725"/>
      <c r="F75" s="725"/>
      <c r="G75" s="744">
        <f t="array" ref="G75">SUM(IF("155"&amp;C75=KHN&amp;MH,SL))</f>
        <v>305</v>
      </c>
      <c r="H75" s="744">
        <f t="array" ref="H75">SUM(IF("155"&amp;C75=KHN&amp;MH,TH))</f>
        <v>2158194</v>
      </c>
      <c r="I75" s="744">
        <f t="array" ref="I75">SUM(IF("155"&amp;C75=KHC&amp;MH,SL))</f>
        <v>305</v>
      </c>
      <c r="J75" s="744">
        <f t="array" ref="J75">SUM(IF("155"&amp;C75=KHC&amp;MH,TH))</f>
        <v>2158194</v>
      </c>
      <c r="K75" s="725">
        <f t="shared" si="16"/>
        <v>0</v>
      </c>
      <c r="L75" s="725">
        <f t="shared" si="17"/>
        <v>0</v>
      </c>
    </row>
    <row r="76" spans="1:12" s="751" customFormat="1" ht="19.5" customHeight="1">
      <c r="A76" s="453" t="str">
        <f t="shared" si="14"/>
        <v>TP</v>
      </c>
      <c r="B76" s="770">
        <f t="shared" si="15"/>
        <v>52</v>
      </c>
      <c r="C76" s="771" t="s">
        <v>662</v>
      </c>
      <c r="D76" s="772" t="s">
        <v>970</v>
      </c>
      <c r="E76" s="725"/>
      <c r="F76" s="725"/>
      <c r="G76" s="744">
        <f t="array" ref="G76">SUM(IF("155"&amp;C76=KHN&amp;MH,SL))</f>
        <v>857</v>
      </c>
      <c r="H76" s="744">
        <f t="array" ref="H76">SUM(IF("155"&amp;C76=KHN&amp;MH,TH))</f>
        <v>6442649</v>
      </c>
      <c r="I76" s="744">
        <f t="array" ref="I76">SUM(IF("155"&amp;C76=KHC&amp;MH,SL))</f>
        <v>857</v>
      </c>
      <c r="J76" s="744">
        <f t="array" ref="J76">SUM(IF("155"&amp;C76=KHC&amp;MH,TH))</f>
        <v>6442649</v>
      </c>
      <c r="K76" s="725">
        <f t="shared" si="16"/>
        <v>0</v>
      </c>
      <c r="L76" s="725">
        <f t="shared" si="17"/>
        <v>0</v>
      </c>
    </row>
    <row r="77" spans="1:12" s="751" customFormat="1" ht="19.5" customHeight="1">
      <c r="A77" s="453" t="str">
        <f t="shared" si="14"/>
        <v>TP</v>
      </c>
      <c r="B77" s="770">
        <f t="shared" si="15"/>
        <v>53</v>
      </c>
      <c r="C77" s="757" t="s">
        <v>678</v>
      </c>
      <c r="D77" s="772" t="s">
        <v>970</v>
      </c>
      <c r="E77" s="725"/>
      <c r="F77" s="725"/>
      <c r="G77" s="744">
        <f t="array" ref="G77">SUM(IF("155"&amp;C77=KHN&amp;MH,SL))</f>
        <v>110</v>
      </c>
      <c r="H77" s="744">
        <f t="array" ref="H77">SUM(IF("155"&amp;C77=KHN&amp;MH,TH))</f>
        <v>945756</v>
      </c>
      <c r="I77" s="744">
        <f t="array" ref="I77">SUM(IF("155"&amp;C77=KHC&amp;MH,SL))</f>
        <v>110</v>
      </c>
      <c r="J77" s="744">
        <f t="array" ref="J77">SUM(IF("155"&amp;C77=KHC&amp;MH,TH))</f>
        <v>945756</v>
      </c>
      <c r="K77" s="725">
        <f t="shared" si="16"/>
        <v>0</v>
      </c>
      <c r="L77" s="725">
        <f t="shared" si="17"/>
        <v>0</v>
      </c>
    </row>
    <row r="78" spans="1:12" s="751" customFormat="1" ht="19.5" customHeight="1">
      <c r="A78" s="453" t="str">
        <f t="shared" si="14"/>
        <v>TP</v>
      </c>
      <c r="B78" s="770">
        <f t="shared" si="15"/>
        <v>54</v>
      </c>
      <c r="C78" s="771" t="s">
        <v>529</v>
      </c>
      <c r="D78" s="772" t="s">
        <v>970</v>
      </c>
      <c r="E78" s="725"/>
      <c r="F78" s="725"/>
      <c r="G78" s="744">
        <f t="array" ref="G78">SUM(IF("155"&amp;C78=KHN&amp;MH,SL))</f>
        <v>19</v>
      </c>
      <c r="H78" s="744">
        <f t="array" ref="H78">SUM(IF("155"&amp;C78=KHN&amp;MH,TH))</f>
        <v>214577</v>
      </c>
      <c r="I78" s="744">
        <f t="array" ref="I78">SUM(IF("155"&amp;C78=KHC&amp;MH,SL))</f>
        <v>19</v>
      </c>
      <c r="J78" s="744">
        <f t="array" ref="J78">SUM(IF("155"&amp;C78=KHC&amp;MH,TH))</f>
        <v>214577</v>
      </c>
      <c r="K78" s="725">
        <f t="shared" si="16"/>
        <v>0</v>
      </c>
      <c r="L78" s="725">
        <f t="shared" si="17"/>
        <v>0</v>
      </c>
    </row>
    <row r="79" spans="1:12" s="751" customFormat="1" ht="19.5" customHeight="1">
      <c r="A79" s="453" t="str">
        <f t="shared" si="14"/>
        <v>TP</v>
      </c>
      <c r="B79" s="770">
        <f t="shared" si="15"/>
        <v>55</v>
      </c>
      <c r="C79" s="757" t="s">
        <v>503</v>
      </c>
      <c r="D79" s="772" t="s">
        <v>970</v>
      </c>
      <c r="E79" s="725"/>
      <c r="F79" s="725"/>
      <c r="G79" s="744">
        <f t="array" ref="G79">SUM(IF("155"&amp;C79=KHN&amp;MH,SL))</f>
        <v>75</v>
      </c>
      <c r="H79" s="744">
        <f t="array" ref="H79">SUM(IF("155"&amp;C79=KHN&amp;MH,TH))</f>
        <v>834649</v>
      </c>
      <c r="I79" s="744">
        <f t="array" ref="I79">SUM(IF("155"&amp;C79=KHC&amp;MH,SL))</f>
        <v>75</v>
      </c>
      <c r="J79" s="744">
        <f t="array" ref="J79">SUM(IF("155"&amp;C79=KHC&amp;MH,TH))</f>
        <v>834649</v>
      </c>
      <c r="K79" s="725">
        <f t="shared" si="16"/>
        <v>0</v>
      </c>
      <c r="L79" s="725">
        <f t="shared" si="17"/>
        <v>0</v>
      </c>
    </row>
    <row r="80" spans="1:12" s="751" customFormat="1" ht="19.5" customHeight="1">
      <c r="A80" s="453" t="str">
        <f t="shared" si="14"/>
        <v>TP</v>
      </c>
      <c r="B80" s="770">
        <f t="shared" si="15"/>
        <v>56</v>
      </c>
      <c r="C80" s="771" t="s">
        <v>528</v>
      </c>
      <c r="D80" s="772" t="s">
        <v>970</v>
      </c>
      <c r="E80" s="725"/>
      <c r="F80" s="725"/>
      <c r="G80" s="744">
        <f t="array" ref="G80">SUM(IF("155"&amp;C80=KHN&amp;MH,SL))</f>
        <v>309</v>
      </c>
      <c r="H80" s="744">
        <f t="array" ref="H80">SUM(IF("155"&amp;C80=KHN&amp;MH,TH))</f>
        <v>1884947</v>
      </c>
      <c r="I80" s="744">
        <f t="array" ref="I80">SUM(IF("155"&amp;C80=KHC&amp;MH,SL))</f>
        <v>309</v>
      </c>
      <c r="J80" s="744">
        <f t="array" ref="J80">SUM(IF("155"&amp;C80=KHC&amp;MH,TH))</f>
        <v>1884947</v>
      </c>
      <c r="K80" s="725">
        <f t="shared" si="16"/>
        <v>0</v>
      </c>
      <c r="L80" s="725">
        <f t="shared" si="17"/>
        <v>0</v>
      </c>
    </row>
    <row r="81" spans="1:12" s="751" customFormat="1" ht="19.5" customHeight="1">
      <c r="A81" s="453" t="str">
        <f t="shared" si="14"/>
        <v>TP</v>
      </c>
      <c r="B81" s="770">
        <f t="shared" si="15"/>
        <v>57</v>
      </c>
      <c r="C81" s="771" t="s">
        <v>800</v>
      </c>
      <c r="D81" s="772" t="s">
        <v>970</v>
      </c>
      <c r="E81" s="725"/>
      <c r="F81" s="725"/>
      <c r="G81" s="744">
        <f t="array" ref="G81">SUM(IF("155"&amp;C81=KHN&amp;MH,SL))</f>
        <v>423</v>
      </c>
      <c r="H81" s="744">
        <f t="array" ref="H81">SUM(IF("155"&amp;C81=KHN&amp;MH,TH))</f>
        <v>2413845</v>
      </c>
      <c r="I81" s="744">
        <f t="array" ref="I81">SUM(IF("155"&amp;C81=KHC&amp;MH,SL))</f>
        <v>423</v>
      </c>
      <c r="J81" s="744">
        <f t="array" ref="J81">SUM(IF("155"&amp;C81=KHC&amp;MH,TH))</f>
        <v>2413845</v>
      </c>
      <c r="K81" s="725">
        <f t="shared" si="16"/>
        <v>0</v>
      </c>
      <c r="L81" s="725">
        <f t="shared" si="17"/>
        <v>0</v>
      </c>
    </row>
    <row r="82" spans="1:12" s="751" customFormat="1" ht="19.5" customHeight="1">
      <c r="A82" s="453" t="str">
        <f t="shared" si="14"/>
        <v>TP</v>
      </c>
      <c r="B82" s="770">
        <f t="shared" si="15"/>
        <v>58</v>
      </c>
      <c r="C82" s="773" t="s">
        <v>669</v>
      </c>
      <c r="D82" s="772" t="s">
        <v>970</v>
      </c>
      <c r="E82" s="725"/>
      <c r="F82" s="725"/>
      <c r="G82" s="744">
        <f t="array" ref="G82">SUM(IF("155"&amp;C82=KHN&amp;MH,SL))</f>
        <v>330</v>
      </c>
      <c r="H82" s="744">
        <f t="array" ref="H82">SUM(IF("155"&amp;C82=KHN&amp;MH,TH))</f>
        <v>2284879</v>
      </c>
      <c r="I82" s="744">
        <f t="array" ref="I82">SUM(IF("155"&amp;C82=KHC&amp;MH,SL))</f>
        <v>330</v>
      </c>
      <c r="J82" s="744">
        <f t="array" ref="J82">SUM(IF("155"&amp;C82=KHC&amp;MH,TH))</f>
        <v>2284879</v>
      </c>
      <c r="K82" s="725">
        <f t="shared" si="16"/>
        <v>0</v>
      </c>
      <c r="L82" s="725">
        <f t="shared" si="17"/>
        <v>0</v>
      </c>
    </row>
    <row r="83" spans="1:12" s="751" customFormat="1" ht="19.5" customHeight="1">
      <c r="A83" s="453" t="str">
        <f t="shared" si="14"/>
        <v>TP</v>
      </c>
      <c r="B83" s="770">
        <f t="shared" si="15"/>
        <v>59</v>
      </c>
      <c r="C83" s="771" t="s">
        <v>547</v>
      </c>
      <c r="D83" s="772" t="s">
        <v>970</v>
      </c>
      <c r="E83" s="725"/>
      <c r="F83" s="725"/>
      <c r="G83" s="744">
        <f t="array" ref="G83">SUM(IF("155"&amp;C83=KHN&amp;MH,SL))</f>
        <v>109</v>
      </c>
      <c r="H83" s="744">
        <f t="array" ref="H83">SUM(IF("155"&amp;C83=KHN&amp;MH,TH))</f>
        <v>485209</v>
      </c>
      <c r="I83" s="744">
        <f t="array" ref="I83">SUM(IF("155"&amp;C83=KHC&amp;MH,SL))</f>
        <v>109</v>
      </c>
      <c r="J83" s="744">
        <f t="array" ref="J83">SUM(IF("155"&amp;C83=KHC&amp;MH,TH))</f>
        <v>485209</v>
      </c>
      <c r="K83" s="725">
        <f t="shared" si="16"/>
        <v>0</v>
      </c>
      <c r="L83" s="725">
        <f t="shared" si="17"/>
        <v>0</v>
      </c>
    </row>
    <row r="84" spans="1:12" s="751" customFormat="1" ht="19.5" customHeight="1">
      <c r="A84" s="453" t="str">
        <f t="shared" si="14"/>
        <v>TP</v>
      </c>
      <c r="B84" s="770">
        <f t="shared" si="15"/>
        <v>60</v>
      </c>
      <c r="C84" s="771" t="s">
        <v>515</v>
      </c>
      <c r="D84" s="772" t="s">
        <v>970</v>
      </c>
      <c r="E84" s="725"/>
      <c r="F84" s="725"/>
      <c r="G84" s="744">
        <f t="array" ref="G84">SUM(IF("155"&amp;C84=KHN&amp;MH,SL))</f>
        <v>606</v>
      </c>
      <c r="H84" s="744">
        <f t="array" ref="H84">SUM(IF("155"&amp;C84=KHN&amp;MH,TH))</f>
        <v>3546825</v>
      </c>
      <c r="I84" s="744">
        <f t="array" ref="I84">SUM(IF("155"&amp;C84=KHC&amp;MH,SL))</f>
        <v>606</v>
      </c>
      <c r="J84" s="744">
        <f t="array" ref="J84">SUM(IF("155"&amp;C84=KHC&amp;MH,TH))</f>
        <v>3546825</v>
      </c>
      <c r="K84" s="725">
        <f t="shared" si="16"/>
        <v>0</v>
      </c>
      <c r="L84" s="725">
        <f t="shared" si="17"/>
        <v>0</v>
      </c>
    </row>
    <row r="85" spans="1:12" s="751" customFormat="1" ht="19.5" customHeight="1">
      <c r="A85" s="453" t="str">
        <f t="shared" si="14"/>
        <v>TP</v>
      </c>
      <c r="B85" s="770">
        <f t="shared" si="15"/>
        <v>61</v>
      </c>
      <c r="C85" s="771" t="s">
        <v>847</v>
      </c>
      <c r="D85" s="772" t="s">
        <v>970</v>
      </c>
      <c r="E85" s="725"/>
      <c r="F85" s="725"/>
      <c r="G85" s="744">
        <f t="array" ref="G85">SUM(IF("155"&amp;C85=KHN&amp;MH,SL))</f>
        <v>1160</v>
      </c>
      <c r="H85" s="744">
        <f t="array" ref="H85">SUM(IF("155"&amp;C85=KHN&amp;MH,TH))</f>
        <v>7766913</v>
      </c>
      <c r="I85" s="744">
        <f t="array" ref="I85">SUM(IF("155"&amp;C85=KHC&amp;MH,SL))</f>
        <v>1160</v>
      </c>
      <c r="J85" s="744">
        <f t="array" ref="J85">SUM(IF("155"&amp;C85=KHC&amp;MH,TH))</f>
        <v>7766913</v>
      </c>
      <c r="K85" s="725">
        <f t="shared" si="16"/>
        <v>0</v>
      </c>
      <c r="L85" s="725">
        <f t="shared" si="17"/>
        <v>0</v>
      </c>
    </row>
    <row r="86" spans="1:12" s="751" customFormat="1" ht="19.5" customHeight="1">
      <c r="A86" s="453" t="str">
        <f t="shared" si="14"/>
        <v>TP</v>
      </c>
      <c r="B86" s="770">
        <f t="shared" si="15"/>
        <v>62</v>
      </c>
      <c r="C86" s="771" t="s">
        <v>902</v>
      </c>
      <c r="D86" s="772" t="s">
        <v>970</v>
      </c>
      <c r="E86" s="725"/>
      <c r="F86" s="725"/>
      <c r="G86" s="744">
        <f t="array" ref="G86">SUM(IF("155"&amp;C86=KHN&amp;MH,SL))</f>
        <v>160</v>
      </c>
      <c r="H86" s="744">
        <f t="array" ref="H86">SUM(IF("155"&amp;C86=KHN&amp;MH,TH))</f>
        <v>1558252</v>
      </c>
      <c r="I86" s="744">
        <f t="array" ref="I86">SUM(IF("155"&amp;C86=KHC&amp;MH,SL))</f>
        <v>160</v>
      </c>
      <c r="J86" s="744">
        <f t="array" ref="J86">SUM(IF("155"&amp;C86=KHC&amp;MH,TH))</f>
        <v>1558252</v>
      </c>
      <c r="K86" s="725">
        <f t="shared" si="16"/>
        <v>0</v>
      </c>
      <c r="L86" s="725">
        <f t="shared" si="17"/>
        <v>0</v>
      </c>
    </row>
    <row r="87" spans="1:12" s="751" customFormat="1" ht="19.5" customHeight="1">
      <c r="A87" s="453" t="str">
        <f t="shared" si="14"/>
        <v>TP</v>
      </c>
      <c r="B87" s="770">
        <f t="shared" si="15"/>
        <v>63</v>
      </c>
      <c r="C87" s="771" t="s">
        <v>536</v>
      </c>
      <c r="D87" s="772" t="s">
        <v>970</v>
      </c>
      <c r="E87" s="725"/>
      <c r="F87" s="725"/>
      <c r="G87" s="744">
        <f t="array" ref="G87">SUM(IF("155"&amp;C87=KHN&amp;MH,SL))</f>
        <v>311</v>
      </c>
      <c r="H87" s="744">
        <f t="array" ref="H87">SUM(IF("155"&amp;C87=KHN&amp;MH,TH))</f>
        <v>1999695</v>
      </c>
      <c r="I87" s="744">
        <f t="array" ref="I87">SUM(IF("155"&amp;C87=KHC&amp;MH,SL))</f>
        <v>311</v>
      </c>
      <c r="J87" s="744">
        <f t="array" ref="J87">SUM(IF("155"&amp;C87=KHC&amp;MH,TH))</f>
        <v>1999695</v>
      </c>
      <c r="K87" s="725">
        <f t="shared" si="16"/>
        <v>0</v>
      </c>
      <c r="L87" s="725">
        <f t="shared" si="17"/>
        <v>0</v>
      </c>
    </row>
    <row r="88" spans="1:12" s="751" customFormat="1" ht="19.5" customHeight="1">
      <c r="A88" s="453" t="str">
        <f t="shared" si="14"/>
        <v>TP</v>
      </c>
      <c r="B88" s="770">
        <f t="shared" si="15"/>
        <v>64</v>
      </c>
      <c r="C88" s="771" t="s">
        <v>667</v>
      </c>
      <c r="D88" s="772" t="s">
        <v>970</v>
      </c>
      <c r="E88" s="725"/>
      <c r="F88" s="725"/>
      <c r="G88" s="744">
        <f t="array" ref="G88">SUM(IF("155"&amp;C88=KHN&amp;MH,SL))</f>
        <v>111</v>
      </c>
      <c r="H88" s="744">
        <f t="array" ref="H88">SUM(IF("155"&amp;C88=KHN&amp;MH,TH))</f>
        <v>878343</v>
      </c>
      <c r="I88" s="744">
        <f t="array" ref="I88">SUM(IF("155"&amp;C88=KHC&amp;MH,SL))</f>
        <v>111</v>
      </c>
      <c r="J88" s="744">
        <f t="array" ref="J88">SUM(IF("155"&amp;C88=KHC&amp;MH,TH))</f>
        <v>878343</v>
      </c>
      <c r="K88" s="725">
        <f t="shared" si="16"/>
        <v>0</v>
      </c>
      <c r="L88" s="725">
        <f t="shared" si="17"/>
        <v>0</v>
      </c>
    </row>
    <row r="89" spans="1:12" s="751" customFormat="1" ht="19.5" customHeight="1">
      <c r="A89" s="453" t="str">
        <f t="shared" si="14"/>
        <v>TP</v>
      </c>
      <c r="B89" s="770">
        <f t="shared" si="15"/>
        <v>65</v>
      </c>
      <c r="C89" s="771" t="s">
        <v>671</v>
      </c>
      <c r="D89" s="772" t="s">
        <v>970</v>
      </c>
      <c r="E89" s="725"/>
      <c r="F89" s="725"/>
      <c r="G89" s="744">
        <f t="array" ref="G89">SUM(IF("155"&amp;C89=KHN&amp;MH,SL))</f>
        <v>81</v>
      </c>
      <c r="H89" s="744">
        <f t="array" ref="H89">SUM(IF("155"&amp;C89=KHN&amp;MH,TH))</f>
        <v>665605</v>
      </c>
      <c r="I89" s="744">
        <f t="array" ref="I89">SUM(IF("155"&amp;C89=KHC&amp;MH,SL))</f>
        <v>81</v>
      </c>
      <c r="J89" s="744">
        <f t="array" ref="J89">SUM(IF("155"&amp;C89=KHC&amp;MH,TH))</f>
        <v>665605</v>
      </c>
      <c r="K89" s="725">
        <f t="shared" ref="K89:K120" si="18">E89+G89-I89</f>
        <v>0</v>
      </c>
      <c r="L89" s="725">
        <f t="shared" ref="L89:L120" si="19">F89+H89-J89</f>
        <v>0</v>
      </c>
    </row>
    <row r="90" spans="1:12" s="751" customFormat="1" ht="19.5" customHeight="1">
      <c r="A90" s="453" t="str">
        <f t="shared" si="14"/>
        <v>TP</v>
      </c>
      <c r="B90" s="770">
        <f t="shared" si="15"/>
        <v>66</v>
      </c>
      <c r="C90" s="757" t="s">
        <v>670</v>
      </c>
      <c r="D90" s="772" t="s">
        <v>970</v>
      </c>
      <c r="E90" s="725"/>
      <c r="F90" s="725"/>
      <c r="G90" s="744">
        <f t="array" ref="G90">SUM(IF("155"&amp;C90=KHN&amp;MH,SL))</f>
        <v>23</v>
      </c>
      <c r="H90" s="744">
        <f t="array" ref="H90">SUM(IF("155"&amp;C90=KHN&amp;MH,TH))</f>
        <v>197749</v>
      </c>
      <c r="I90" s="744">
        <f t="array" ref="I90">SUM(IF("155"&amp;C90=KHC&amp;MH,SL))</f>
        <v>23</v>
      </c>
      <c r="J90" s="744">
        <f t="array" ref="J90">SUM(IF("155"&amp;C90=KHC&amp;MH,TH))</f>
        <v>197749</v>
      </c>
      <c r="K90" s="725">
        <f t="shared" si="18"/>
        <v>0</v>
      </c>
      <c r="L90" s="725">
        <f t="shared" si="19"/>
        <v>0</v>
      </c>
    </row>
    <row r="91" spans="1:12" s="751" customFormat="1" ht="19.5" customHeight="1">
      <c r="A91" s="453" t="str">
        <f t="shared" ref="A91:A154" si="20">IF(B91&lt;&gt;"","TP","")</f>
        <v>TP</v>
      </c>
      <c r="B91" s="770">
        <f t="shared" ref="B91:B154" si="21">IF(C91&lt;&gt;"",B90+1,"")</f>
        <v>67</v>
      </c>
      <c r="C91" s="773" t="s">
        <v>543</v>
      </c>
      <c r="D91" s="772" t="s">
        <v>970</v>
      </c>
      <c r="E91" s="725"/>
      <c r="F91" s="725"/>
      <c r="G91" s="744">
        <f t="array" ref="G91">SUM(IF("155"&amp;C91=KHN&amp;MH,SL))</f>
        <v>10520</v>
      </c>
      <c r="H91" s="744">
        <f t="array" ref="H91">SUM(IF("155"&amp;C91=KHN&amp;MH,TH))</f>
        <v>71111269</v>
      </c>
      <c r="I91" s="744">
        <f t="array" ref="I91">SUM(IF("155"&amp;C91=KHC&amp;MH,SL))</f>
        <v>10520</v>
      </c>
      <c r="J91" s="744">
        <f t="array" ref="J91">SUM(IF("155"&amp;C91=KHC&amp;MH,TH))</f>
        <v>71111269</v>
      </c>
      <c r="K91" s="725">
        <f t="shared" si="18"/>
        <v>0</v>
      </c>
      <c r="L91" s="725">
        <f t="shared" si="19"/>
        <v>0</v>
      </c>
    </row>
    <row r="92" spans="1:12" s="751" customFormat="1" ht="19.5" customHeight="1">
      <c r="A92" s="453" t="str">
        <f t="shared" si="20"/>
        <v>TP</v>
      </c>
      <c r="B92" s="770">
        <f t="shared" si="21"/>
        <v>68</v>
      </c>
      <c r="C92" s="771" t="s">
        <v>517</v>
      </c>
      <c r="D92" s="772" t="s">
        <v>970</v>
      </c>
      <c r="E92" s="725"/>
      <c r="F92" s="725"/>
      <c r="G92" s="744">
        <f t="array" ref="G92">SUM(IF("155"&amp;C92=KHN&amp;MH,SL))</f>
        <v>304</v>
      </c>
      <c r="H92" s="744">
        <f t="array" ref="H92">SUM(IF("155"&amp;C92=KHN&amp;MH,TH))</f>
        <v>3307930</v>
      </c>
      <c r="I92" s="744">
        <f t="array" ref="I92">SUM(IF("155"&amp;C92=KHC&amp;MH,SL))</f>
        <v>304</v>
      </c>
      <c r="J92" s="744">
        <f t="array" ref="J92">SUM(IF("155"&amp;C92=KHC&amp;MH,TH))</f>
        <v>3307930</v>
      </c>
      <c r="K92" s="725">
        <f t="shared" si="18"/>
        <v>0</v>
      </c>
      <c r="L92" s="725">
        <f t="shared" si="19"/>
        <v>0</v>
      </c>
    </row>
    <row r="93" spans="1:12" s="751" customFormat="1" ht="19.5" customHeight="1">
      <c r="A93" s="453" t="str">
        <f t="shared" si="20"/>
        <v>TP</v>
      </c>
      <c r="B93" s="770">
        <f t="shared" si="21"/>
        <v>69</v>
      </c>
      <c r="C93" s="771" t="s">
        <v>661</v>
      </c>
      <c r="D93" s="772" t="s">
        <v>970</v>
      </c>
      <c r="E93" s="725"/>
      <c r="F93" s="725"/>
      <c r="G93" s="744">
        <f t="array" ref="G93">SUM(IF("155"&amp;C93=KHN&amp;MH,SL))</f>
        <v>227</v>
      </c>
      <c r="H93" s="744">
        <f t="array" ref="H93">SUM(IF("155"&amp;C93=KHN&amp;MH,TH))</f>
        <v>2039676</v>
      </c>
      <c r="I93" s="744">
        <f t="array" ref="I93">SUM(IF("155"&amp;C93=KHC&amp;MH,SL))</f>
        <v>227</v>
      </c>
      <c r="J93" s="744">
        <f t="array" ref="J93">SUM(IF("155"&amp;C93=KHC&amp;MH,TH))</f>
        <v>2039676</v>
      </c>
      <c r="K93" s="725">
        <f t="shared" si="18"/>
        <v>0</v>
      </c>
      <c r="L93" s="725">
        <f t="shared" si="19"/>
        <v>0</v>
      </c>
    </row>
    <row r="94" spans="1:12" s="751" customFormat="1" ht="19.5" customHeight="1">
      <c r="A94" s="453" t="str">
        <f t="shared" si="20"/>
        <v>TP</v>
      </c>
      <c r="B94" s="770">
        <f t="shared" si="21"/>
        <v>70</v>
      </c>
      <c r="C94" s="771" t="s">
        <v>500</v>
      </c>
      <c r="D94" s="772" t="s">
        <v>970</v>
      </c>
      <c r="E94" s="725"/>
      <c r="F94" s="725"/>
      <c r="G94" s="744">
        <f t="array" ref="G94">SUM(IF("155"&amp;C94=KHN&amp;MH,SL))</f>
        <v>6808</v>
      </c>
      <c r="H94" s="744">
        <f t="array" ref="H94">SUM(IF("155"&amp;C94=KHN&amp;MH,TH))</f>
        <v>61005565</v>
      </c>
      <c r="I94" s="744">
        <f t="array" ref="I94">SUM(IF("155"&amp;C94=KHC&amp;MH,SL))</f>
        <v>6808</v>
      </c>
      <c r="J94" s="744">
        <f t="array" ref="J94">SUM(IF("155"&amp;C94=KHC&amp;MH,TH))</f>
        <v>61005565</v>
      </c>
      <c r="K94" s="725">
        <f t="shared" si="18"/>
        <v>0</v>
      </c>
      <c r="L94" s="725">
        <f t="shared" si="19"/>
        <v>0</v>
      </c>
    </row>
    <row r="95" spans="1:12" s="751" customFormat="1" ht="19.5" customHeight="1">
      <c r="A95" s="453" t="str">
        <f t="shared" si="20"/>
        <v>TP</v>
      </c>
      <c r="B95" s="770">
        <f t="shared" si="21"/>
        <v>71</v>
      </c>
      <c r="C95" s="757" t="s">
        <v>675</v>
      </c>
      <c r="D95" s="772" t="s">
        <v>970</v>
      </c>
      <c r="E95" s="725"/>
      <c r="F95" s="725"/>
      <c r="G95" s="744">
        <f t="array" ref="G95">SUM(IF("155"&amp;C95=KHN&amp;MH,SL))</f>
        <v>103</v>
      </c>
      <c r="H95" s="744">
        <f t="array" ref="H95">SUM(IF("155"&amp;C95=KHN&amp;MH,TH))</f>
        <v>979614</v>
      </c>
      <c r="I95" s="744">
        <f t="array" ref="I95">SUM(IF("155"&amp;C95=KHC&amp;MH,SL))</f>
        <v>103</v>
      </c>
      <c r="J95" s="744">
        <f t="array" ref="J95">SUM(IF("155"&amp;C95=KHC&amp;MH,TH))</f>
        <v>979614</v>
      </c>
      <c r="K95" s="725">
        <f t="shared" si="18"/>
        <v>0</v>
      </c>
      <c r="L95" s="725">
        <f t="shared" si="19"/>
        <v>0</v>
      </c>
    </row>
    <row r="96" spans="1:12" s="751" customFormat="1" ht="19.5" customHeight="1">
      <c r="A96" s="453" t="str">
        <f t="shared" si="20"/>
        <v>TP</v>
      </c>
      <c r="B96" s="770">
        <f t="shared" si="21"/>
        <v>72</v>
      </c>
      <c r="C96" s="773" t="s">
        <v>548</v>
      </c>
      <c r="D96" s="772" t="s">
        <v>970</v>
      </c>
      <c r="E96" s="725"/>
      <c r="F96" s="725"/>
      <c r="G96" s="744">
        <f t="array" ref="G96">SUM(IF("155"&amp;C96=KHN&amp;MH,SL))</f>
        <v>102</v>
      </c>
      <c r="H96" s="744">
        <f t="array" ref="H96">SUM(IF("155"&amp;C96=KHN&amp;MH,TH))</f>
        <v>521316</v>
      </c>
      <c r="I96" s="744">
        <f t="array" ref="I96">SUM(IF("155"&amp;C96=KHC&amp;MH,SL))</f>
        <v>102</v>
      </c>
      <c r="J96" s="744">
        <f t="array" ref="J96">SUM(IF("155"&amp;C96=KHC&amp;MH,TH))</f>
        <v>521316</v>
      </c>
      <c r="K96" s="725">
        <f t="shared" si="18"/>
        <v>0</v>
      </c>
      <c r="L96" s="725">
        <f t="shared" si="19"/>
        <v>0</v>
      </c>
    </row>
    <row r="97" spans="1:12" s="751" customFormat="1" ht="19.5" customHeight="1">
      <c r="A97" s="453" t="str">
        <f t="shared" si="20"/>
        <v>TP</v>
      </c>
      <c r="B97" s="770">
        <f t="shared" si="21"/>
        <v>73</v>
      </c>
      <c r="C97" s="771" t="s">
        <v>674</v>
      </c>
      <c r="D97" s="772" t="s">
        <v>970</v>
      </c>
      <c r="E97" s="725"/>
      <c r="F97" s="725"/>
      <c r="G97" s="744">
        <f t="array" ref="G97">SUM(IF("155"&amp;C97=KHN&amp;MH,SL))</f>
        <v>160</v>
      </c>
      <c r="H97" s="744">
        <f t="array" ref="H97">SUM(IF("155"&amp;C97=KHN&amp;MH,TH))</f>
        <v>1314775</v>
      </c>
      <c r="I97" s="744">
        <f t="array" ref="I97">SUM(IF("155"&amp;C97=KHC&amp;MH,SL))</f>
        <v>160</v>
      </c>
      <c r="J97" s="744">
        <f t="array" ref="J97">SUM(IF("155"&amp;C97=KHC&amp;MH,TH))</f>
        <v>1314775</v>
      </c>
      <c r="K97" s="725">
        <f t="shared" si="18"/>
        <v>0</v>
      </c>
      <c r="L97" s="725">
        <f t="shared" si="19"/>
        <v>0</v>
      </c>
    </row>
    <row r="98" spans="1:12" s="751" customFormat="1" ht="19.5" customHeight="1">
      <c r="A98" s="453" t="str">
        <f t="shared" si="20"/>
        <v>TP</v>
      </c>
      <c r="B98" s="770">
        <f t="shared" si="21"/>
        <v>74</v>
      </c>
      <c r="C98" s="757" t="s">
        <v>652</v>
      </c>
      <c r="D98" s="772" t="s">
        <v>970</v>
      </c>
      <c r="E98" s="725"/>
      <c r="F98" s="725"/>
      <c r="G98" s="744">
        <f t="array" ref="G98">SUM(IF("155"&amp;C98=KHN&amp;MH,SL))</f>
        <v>3437</v>
      </c>
      <c r="H98" s="744">
        <f t="array" ref="H98">SUM(IF("155"&amp;C98=KHN&amp;MH,TH))</f>
        <v>30316018</v>
      </c>
      <c r="I98" s="744">
        <f t="array" ref="I98">SUM(IF("155"&amp;C98=KHC&amp;MH,SL))</f>
        <v>3437</v>
      </c>
      <c r="J98" s="744">
        <f t="array" ref="J98">SUM(IF("155"&amp;C98=KHC&amp;MH,TH))</f>
        <v>30316018</v>
      </c>
      <c r="K98" s="725">
        <f t="shared" si="18"/>
        <v>0</v>
      </c>
      <c r="L98" s="725">
        <f t="shared" si="19"/>
        <v>0</v>
      </c>
    </row>
    <row r="99" spans="1:12" s="751" customFormat="1" ht="19.5" customHeight="1">
      <c r="A99" s="453" t="str">
        <f t="shared" si="20"/>
        <v>TP</v>
      </c>
      <c r="B99" s="770">
        <f t="shared" si="21"/>
        <v>75</v>
      </c>
      <c r="C99" s="771" t="s">
        <v>498</v>
      </c>
      <c r="D99" s="772" t="s">
        <v>970</v>
      </c>
      <c r="E99" s="725"/>
      <c r="F99" s="725"/>
      <c r="G99" s="744">
        <f t="array" ref="G99">SUM(IF("155"&amp;C99=KHN&amp;MH,SL))</f>
        <v>3265</v>
      </c>
      <c r="H99" s="744">
        <f t="array" ref="H99">SUM(IF("155"&amp;C99=KHN&amp;MH,TH))</f>
        <v>33133078</v>
      </c>
      <c r="I99" s="744">
        <f t="array" ref="I99">SUM(IF("155"&amp;C99=KHC&amp;MH,SL))</f>
        <v>3265</v>
      </c>
      <c r="J99" s="744">
        <f t="array" ref="J99">SUM(IF("155"&amp;C99=KHC&amp;MH,TH))</f>
        <v>33133078</v>
      </c>
      <c r="K99" s="725">
        <f t="shared" si="18"/>
        <v>0</v>
      </c>
      <c r="L99" s="725">
        <f t="shared" si="19"/>
        <v>0</v>
      </c>
    </row>
    <row r="100" spans="1:12" s="751" customFormat="1" ht="19.5" customHeight="1">
      <c r="A100" s="453" t="str">
        <f t="shared" si="20"/>
        <v>TP</v>
      </c>
      <c r="B100" s="770">
        <f t="shared" si="21"/>
        <v>76</v>
      </c>
      <c r="C100" s="774" t="s">
        <v>683</v>
      </c>
      <c r="D100" s="772" t="s">
        <v>970</v>
      </c>
      <c r="E100" s="725"/>
      <c r="F100" s="725"/>
      <c r="G100" s="744">
        <f t="array" ref="G100">SUM(IF("155"&amp;C100=KHN&amp;MH,SL))</f>
        <v>81</v>
      </c>
      <c r="H100" s="744">
        <f t="array" ref="H100">SUM(IF("155"&amp;C100=KHN&amp;MH,TH))</f>
        <v>1286644</v>
      </c>
      <c r="I100" s="744">
        <f t="array" ref="I100">SUM(IF("155"&amp;C100=KHC&amp;MH,SL))</f>
        <v>81</v>
      </c>
      <c r="J100" s="744">
        <f t="array" ref="J100">SUM(IF("155"&amp;C100=KHC&amp;MH,TH))</f>
        <v>1286644</v>
      </c>
      <c r="K100" s="725">
        <f t="shared" si="18"/>
        <v>0</v>
      </c>
      <c r="L100" s="725">
        <f t="shared" si="19"/>
        <v>0</v>
      </c>
    </row>
    <row r="101" spans="1:12" s="751" customFormat="1" ht="19.5" customHeight="1">
      <c r="A101" s="453" t="str">
        <f t="shared" si="20"/>
        <v>TP</v>
      </c>
      <c r="B101" s="770">
        <f t="shared" si="21"/>
        <v>77</v>
      </c>
      <c r="C101" s="771" t="s">
        <v>836</v>
      </c>
      <c r="D101" s="772" t="s">
        <v>970</v>
      </c>
      <c r="E101" s="725"/>
      <c r="F101" s="725"/>
      <c r="G101" s="744">
        <f t="array" ref="G101">SUM(IF("155"&amp;C101=KHN&amp;MH,SL))</f>
        <v>300</v>
      </c>
      <c r="H101" s="744">
        <f t="array" ref="H101">SUM(IF("155"&amp;C101=KHN&amp;MH,TH))</f>
        <v>1917381</v>
      </c>
      <c r="I101" s="744">
        <f t="array" ref="I101">SUM(IF("155"&amp;C101=KHC&amp;MH,SL))</f>
        <v>300</v>
      </c>
      <c r="J101" s="744">
        <f t="array" ref="J101">SUM(IF("155"&amp;C101=KHC&amp;MH,TH))</f>
        <v>1917381</v>
      </c>
      <c r="K101" s="725">
        <f t="shared" si="18"/>
        <v>0</v>
      </c>
      <c r="L101" s="725">
        <f t="shared" si="19"/>
        <v>0</v>
      </c>
    </row>
    <row r="102" spans="1:12" s="751" customFormat="1" ht="19.5" customHeight="1">
      <c r="A102" s="453" t="str">
        <f t="shared" si="20"/>
        <v>TP</v>
      </c>
      <c r="B102" s="770">
        <f t="shared" si="21"/>
        <v>78</v>
      </c>
      <c r="C102" s="773" t="s">
        <v>802</v>
      </c>
      <c r="D102" s="772" t="s">
        <v>970</v>
      </c>
      <c r="E102" s="725"/>
      <c r="F102" s="725"/>
      <c r="G102" s="744">
        <f t="array" ref="G102">SUM(IF("155"&amp;C102=KHN&amp;MH,SL))</f>
        <v>943</v>
      </c>
      <c r="H102" s="744">
        <f t="array" ref="H102">SUM(IF("155"&amp;C102=KHN&amp;MH,TH))</f>
        <v>5094222</v>
      </c>
      <c r="I102" s="744">
        <f t="array" ref="I102">SUM(IF("155"&amp;C102=KHC&amp;MH,SL))</f>
        <v>943</v>
      </c>
      <c r="J102" s="744">
        <f t="array" ref="J102">SUM(IF("155"&amp;C102=KHC&amp;MH,TH))</f>
        <v>5094222</v>
      </c>
      <c r="K102" s="725">
        <f t="shared" si="18"/>
        <v>0</v>
      </c>
      <c r="L102" s="725">
        <f t="shared" si="19"/>
        <v>0</v>
      </c>
    </row>
    <row r="103" spans="1:12" s="751" customFormat="1" ht="19.5" customHeight="1">
      <c r="A103" s="453" t="str">
        <f t="shared" si="20"/>
        <v>TP</v>
      </c>
      <c r="B103" s="770">
        <f t="shared" si="21"/>
        <v>79</v>
      </c>
      <c r="C103" s="757" t="s">
        <v>672</v>
      </c>
      <c r="D103" s="772" t="s">
        <v>970</v>
      </c>
      <c r="E103" s="725"/>
      <c r="F103" s="725"/>
      <c r="G103" s="744">
        <f t="array" ref="G103">SUM(IF("155"&amp;C103=KHN&amp;MH,SL))</f>
        <v>2010</v>
      </c>
      <c r="H103" s="744">
        <f t="array" ref="H103">SUM(IF("155"&amp;C103=KHN&amp;MH,TH))</f>
        <v>18505005</v>
      </c>
      <c r="I103" s="744">
        <f t="array" ref="I103">SUM(IF("155"&amp;C103=KHC&amp;MH,SL))</f>
        <v>2010</v>
      </c>
      <c r="J103" s="744">
        <f t="array" ref="J103">SUM(IF("155"&amp;C103=KHC&amp;MH,TH))</f>
        <v>18505005</v>
      </c>
      <c r="K103" s="725">
        <f t="shared" si="18"/>
        <v>0</v>
      </c>
      <c r="L103" s="725">
        <f t="shared" si="19"/>
        <v>0</v>
      </c>
    </row>
    <row r="104" spans="1:12" s="751" customFormat="1" ht="19.5" customHeight="1">
      <c r="A104" s="453" t="str">
        <f t="shared" si="20"/>
        <v>TP</v>
      </c>
      <c r="B104" s="770">
        <f t="shared" si="21"/>
        <v>80</v>
      </c>
      <c r="C104" s="771" t="s">
        <v>901</v>
      </c>
      <c r="D104" s="772" t="s">
        <v>970</v>
      </c>
      <c r="E104" s="725"/>
      <c r="F104" s="725"/>
      <c r="G104" s="744">
        <f t="array" ref="G104">SUM(IF("155"&amp;C104=KHN&amp;MH,SL))</f>
        <v>110</v>
      </c>
      <c r="H104" s="744">
        <f t="array" ref="H104">SUM(IF("155"&amp;C104=KHN&amp;MH,TH))</f>
        <v>1037820</v>
      </c>
      <c r="I104" s="744">
        <f t="array" ref="I104">SUM(IF("155"&amp;C104=KHC&amp;MH,SL))</f>
        <v>110</v>
      </c>
      <c r="J104" s="744">
        <f t="array" ref="J104">SUM(IF("155"&amp;C104=KHC&amp;MH,TH))</f>
        <v>1037820</v>
      </c>
      <c r="K104" s="725">
        <f t="shared" si="18"/>
        <v>0</v>
      </c>
      <c r="L104" s="725">
        <f t="shared" si="19"/>
        <v>0</v>
      </c>
    </row>
    <row r="105" spans="1:12" s="751" customFormat="1" ht="19.5" customHeight="1">
      <c r="A105" s="453" t="str">
        <f t="shared" si="20"/>
        <v>TP</v>
      </c>
      <c r="B105" s="770">
        <f t="shared" si="21"/>
        <v>81</v>
      </c>
      <c r="C105" s="757" t="s">
        <v>511</v>
      </c>
      <c r="D105" s="772" t="s">
        <v>970</v>
      </c>
      <c r="E105" s="725"/>
      <c r="F105" s="725"/>
      <c r="G105" s="744">
        <f t="array" ref="G105">SUM(IF("155"&amp;C105=KHN&amp;MH,SL))</f>
        <v>350</v>
      </c>
      <c r="H105" s="744">
        <f t="array" ref="H105">SUM(IF("155"&amp;C105=KHN&amp;MH,TH))</f>
        <v>3173727</v>
      </c>
      <c r="I105" s="744">
        <f t="array" ref="I105">SUM(IF("155"&amp;C105=KHC&amp;MH,SL))</f>
        <v>350</v>
      </c>
      <c r="J105" s="744">
        <f t="array" ref="J105">SUM(IF("155"&amp;C105=KHC&amp;MH,TH))</f>
        <v>3173727</v>
      </c>
      <c r="K105" s="725">
        <f t="shared" si="18"/>
        <v>0</v>
      </c>
      <c r="L105" s="725">
        <f t="shared" si="19"/>
        <v>0</v>
      </c>
    </row>
    <row r="106" spans="1:12" s="751" customFormat="1" ht="19.5" customHeight="1">
      <c r="A106" s="453" t="str">
        <f t="shared" si="20"/>
        <v>TP</v>
      </c>
      <c r="B106" s="770">
        <f t="shared" si="21"/>
        <v>82</v>
      </c>
      <c r="C106" s="771" t="s">
        <v>499</v>
      </c>
      <c r="D106" s="772" t="s">
        <v>970</v>
      </c>
      <c r="E106" s="725"/>
      <c r="F106" s="725"/>
      <c r="G106" s="744">
        <f t="array" ref="G106">SUM(IF("155"&amp;C106=KHN&amp;MH,SL))</f>
        <v>785</v>
      </c>
      <c r="H106" s="744">
        <f t="array" ref="H106">SUM(IF("155"&amp;C106=KHN&amp;MH,TH))</f>
        <v>8063085</v>
      </c>
      <c r="I106" s="744">
        <f t="array" ref="I106">SUM(IF("155"&amp;C106=KHC&amp;MH,SL))</f>
        <v>785</v>
      </c>
      <c r="J106" s="744">
        <f t="array" ref="J106">SUM(IF("155"&amp;C106=KHC&amp;MH,TH))</f>
        <v>8063085</v>
      </c>
      <c r="K106" s="725">
        <f t="shared" si="18"/>
        <v>0</v>
      </c>
      <c r="L106" s="725">
        <f t="shared" si="19"/>
        <v>0</v>
      </c>
    </row>
    <row r="107" spans="1:12" s="751" customFormat="1" ht="19.5" customHeight="1">
      <c r="A107" s="453" t="str">
        <f t="shared" si="20"/>
        <v>TP</v>
      </c>
      <c r="B107" s="770">
        <f t="shared" si="21"/>
        <v>83</v>
      </c>
      <c r="C107" s="771" t="s">
        <v>905</v>
      </c>
      <c r="D107" s="772" t="s">
        <v>970</v>
      </c>
      <c r="E107" s="725"/>
      <c r="F107" s="725"/>
      <c r="G107" s="744">
        <f t="array" ref="G107">SUM(IF("155"&amp;C107=KHN&amp;MH,SL))</f>
        <v>66</v>
      </c>
      <c r="H107" s="744">
        <f t="array" ref="H107">SUM(IF("155"&amp;C107=KHN&amp;MH,TH))</f>
        <v>708061</v>
      </c>
      <c r="I107" s="744">
        <f t="array" ref="I107">SUM(IF("155"&amp;C107=KHC&amp;MH,SL))</f>
        <v>66</v>
      </c>
      <c r="J107" s="744">
        <f t="array" ref="J107">SUM(IF("155"&amp;C107=KHC&amp;MH,TH))</f>
        <v>708061</v>
      </c>
      <c r="K107" s="725">
        <f t="shared" si="18"/>
        <v>0</v>
      </c>
      <c r="L107" s="725">
        <f t="shared" si="19"/>
        <v>0</v>
      </c>
    </row>
    <row r="108" spans="1:12" s="751" customFormat="1" ht="19.5" customHeight="1">
      <c r="A108" s="453" t="str">
        <f t="shared" si="20"/>
        <v>TP</v>
      </c>
      <c r="B108" s="770">
        <f t="shared" si="21"/>
        <v>84</v>
      </c>
      <c r="C108" s="773" t="s">
        <v>900</v>
      </c>
      <c r="D108" s="772" t="s">
        <v>970</v>
      </c>
      <c r="E108" s="725"/>
      <c r="F108" s="725"/>
      <c r="G108" s="744">
        <f t="array" ref="G108">SUM(IF("155"&amp;C108=KHN&amp;MH,SL))</f>
        <v>285</v>
      </c>
      <c r="H108" s="744">
        <f t="array" ref="H108">SUM(IF("155"&amp;C108=KHN&amp;MH,TH))</f>
        <v>2819006</v>
      </c>
      <c r="I108" s="744">
        <f t="array" ref="I108">SUM(IF("155"&amp;C108=KHC&amp;MH,SL))</f>
        <v>285</v>
      </c>
      <c r="J108" s="744">
        <f t="array" ref="J108">SUM(IF("155"&amp;C108=KHC&amp;MH,TH))</f>
        <v>2819006</v>
      </c>
      <c r="K108" s="725">
        <f t="shared" si="18"/>
        <v>0</v>
      </c>
      <c r="L108" s="725">
        <f t="shared" si="19"/>
        <v>0</v>
      </c>
    </row>
    <row r="109" spans="1:12" s="751" customFormat="1" ht="19.5" customHeight="1">
      <c r="A109" s="453" t="str">
        <f t="shared" si="20"/>
        <v>TP</v>
      </c>
      <c r="B109" s="770">
        <f t="shared" si="21"/>
        <v>85</v>
      </c>
      <c r="C109" s="771" t="s">
        <v>676</v>
      </c>
      <c r="D109" s="772" t="s">
        <v>970</v>
      </c>
      <c r="E109" s="725"/>
      <c r="F109" s="725"/>
      <c r="G109" s="744">
        <f t="array" ref="G109">SUM(IF("155"&amp;C109=KHN&amp;MH,SL))</f>
        <v>7</v>
      </c>
      <c r="H109" s="744">
        <f t="array" ref="H109">SUM(IF("155"&amp;C109=KHN&amp;MH,TH))</f>
        <v>72967</v>
      </c>
      <c r="I109" s="744">
        <f t="array" ref="I109">SUM(IF("155"&amp;C109=KHC&amp;MH,SL))</f>
        <v>7</v>
      </c>
      <c r="J109" s="744">
        <f t="array" ref="J109">SUM(IF("155"&amp;C109=KHC&amp;MH,TH))</f>
        <v>72967</v>
      </c>
      <c r="K109" s="725">
        <f t="shared" si="18"/>
        <v>0</v>
      </c>
      <c r="L109" s="725">
        <f t="shared" si="19"/>
        <v>0</v>
      </c>
    </row>
    <row r="110" spans="1:12" s="751" customFormat="1" ht="19.5" customHeight="1">
      <c r="A110" s="453" t="str">
        <f t="shared" si="20"/>
        <v>TP</v>
      </c>
      <c r="B110" s="770">
        <f t="shared" si="21"/>
        <v>86</v>
      </c>
      <c r="C110" s="771" t="s">
        <v>509</v>
      </c>
      <c r="D110" s="772" t="s">
        <v>970</v>
      </c>
      <c r="E110" s="725"/>
      <c r="F110" s="725"/>
      <c r="G110" s="744">
        <f t="array" ref="G110">SUM(IF("155"&amp;C110=KHN&amp;MH,SL))</f>
        <v>627</v>
      </c>
      <c r="H110" s="744">
        <f t="array" ref="H110">SUM(IF("155"&amp;C110=KHN&amp;MH,TH))</f>
        <v>6659734</v>
      </c>
      <c r="I110" s="744">
        <f t="array" ref="I110">SUM(IF("155"&amp;C110=KHC&amp;MH,SL))</f>
        <v>627</v>
      </c>
      <c r="J110" s="744">
        <f t="array" ref="J110">SUM(IF("155"&amp;C110=KHC&amp;MH,TH))</f>
        <v>6659734</v>
      </c>
      <c r="K110" s="725">
        <f t="shared" si="18"/>
        <v>0</v>
      </c>
      <c r="L110" s="725">
        <f t="shared" si="19"/>
        <v>0</v>
      </c>
    </row>
    <row r="111" spans="1:12" s="751" customFormat="1" ht="19.5" customHeight="1">
      <c r="A111" s="453" t="str">
        <f t="shared" si="20"/>
        <v>TP</v>
      </c>
      <c r="B111" s="770">
        <f t="shared" si="21"/>
        <v>87</v>
      </c>
      <c r="C111" s="773" t="s">
        <v>803</v>
      </c>
      <c r="D111" s="772" t="s">
        <v>970</v>
      </c>
      <c r="E111" s="725"/>
      <c r="F111" s="725"/>
      <c r="G111" s="744">
        <f t="array" ref="G111">SUM(IF("155"&amp;C111=KHN&amp;MH,SL))</f>
        <v>270</v>
      </c>
      <c r="H111" s="744">
        <f t="array" ref="H111">SUM(IF("155"&amp;C111=KHN&amp;MH,TH))</f>
        <v>1766729</v>
      </c>
      <c r="I111" s="744">
        <f t="array" ref="I111">SUM(IF("155"&amp;C111=KHC&amp;MH,SL))</f>
        <v>270</v>
      </c>
      <c r="J111" s="744">
        <f t="array" ref="J111">SUM(IF("155"&amp;C111=KHC&amp;MH,TH))</f>
        <v>1766729</v>
      </c>
      <c r="K111" s="725">
        <f t="shared" si="18"/>
        <v>0</v>
      </c>
      <c r="L111" s="725">
        <f t="shared" si="19"/>
        <v>0</v>
      </c>
    </row>
    <row r="112" spans="1:12" s="751" customFormat="1" ht="19.5" customHeight="1">
      <c r="A112" s="453" t="str">
        <f t="shared" si="20"/>
        <v>TP</v>
      </c>
      <c r="B112" s="770">
        <f t="shared" si="21"/>
        <v>88</v>
      </c>
      <c r="C112" s="771" t="s">
        <v>513</v>
      </c>
      <c r="D112" s="772" t="s">
        <v>970</v>
      </c>
      <c r="E112" s="725"/>
      <c r="F112" s="725"/>
      <c r="G112" s="744">
        <f t="array" ref="G112">SUM(IF("155"&amp;C112=KHN&amp;MH,SL))</f>
        <v>1115</v>
      </c>
      <c r="H112" s="744">
        <f t="array" ref="H112">SUM(IF("155"&amp;C112=KHN&amp;MH,TH))</f>
        <v>8731871</v>
      </c>
      <c r="I112" s="744">
        <f t="array" ref="I112">SUM(IF("155"&amp;C112=KHC&amp;MH,SL))</f>
        <v>1115</v>
      </c>
      <c r="J112" s="744">
        <f t="array" ref="J112">SUM(IF("155"&amp;C112=KHC&amp;MH,TH))</f>
        <v>8731871</v>
      </c>
      <c r="K112" s="725">
        <f t="shared" si="18"/>
        <v>0</v>
      </c>
      <c r="L112" s="725">
        <f t="shared" si="19"/>
        <v>0</v>
      </c>
    </row>
    <row r="113" spans="1:12" s="751" customFormat="1" ht="19.5" customHeight="1">
      <c r="A113" s="453" t="str">
        <f t="shared" si="20"/>
        <v>TP</v>
      </c>
      <c r="B113" s="770">
        <f t="shared" si="21"/>
        <v>89</v>
      </c>
      <c r="C113" s="771" t="s">
        <v>521</v>
      </c>
      <c r="D113" s="772" t="s">
        <v>970</v>
      </c>
      <c r="E113" s="725"/>
      <c r="F113" s="725"/>
      <c r="G113" s="744">
        <f t="array" ref="G113">SUM(IF("155"&amp;C113=KHN&amp;MH,SL))</f>
        <v>427</v>
      </c>
      <c r="H113" s="744">
        <f t="array" ref="H113">SUM(IF("155"&amp;C113=KHN&amp;MH,TH))</f>
        <v>3379154</v>
      </c>
      <c r="I113" s="744">
        <f t="array" ref="I113">SUM(IF("155"&amp;C113=KHC&amp;MH,SL))</f>
        <v>427</v>
      </c>
      <c r="J113" s="744">
        <f t="array" ref="J113">SUM(IF("155"&amp;C113=KHC&amp;MH,TH))</f>
        <v>3379154</v>
      </c>
      <c r="K113" s="725">
        <f t="shared" si="18"/>
        <v>0</v>
      </c>
      <c r="L113" s="725">
        <f t="shared" si="19"/>
        <v>0</v>
      </c>
    </row>
    <row r="114" spans="1:12" s="751" customFormat="1" ht="19.5" customHeight="1">
      <c r="A114" s="453" t="str">
        <f t="shared" si="20"/>
        <v>TP</v>
      </c>
      <c r="B114" s="770">
        <f t="shared" si="21"/>
        <v>90</v>
      </c>
      <c r="C114" s="771" t="s">
        <v>514</v>
      </c>
      <c r="D114" s="772" t="s">
        <v>970</v>
      </c>
      <c r="E114" s="725"/>
      <c r="F114" s="725"/>
      <c r="G114" s="744">
        <f t="array" ref="G114">SUM(IF("155"&amp;C114=KHN&amp;MH,SL))</f>
        <v>527</v>
      </c>
      <c r="H114" s="744">
        <f t="array" ref="H114">SUM(IF("155"&amp;C114=KHN&amp;MH,TH))</f>
        <v>4213968</v>
      </c>
      <c r="I114" s="744">
        <f t="array" ref="I114">SUM(IF("155"&amp;C114=KHC&amp;MH,SL))</f>
        <v>527</v>
      </c>
      <c r="J114" s="744">
        <f t="array" ref="J114">SUM(IF("155"&amp;C114=KHC&amp;MH,TH))</f>
        <v>4213968</v>
      </c>
      <c r="K114" s="725">
        <f t="shared" si="18"/>
        <v>0</v>
      </c>
      <c r="L114" s="725">
        <f t="shared" si="19"/>
        <v>0</v>
      </c>
    </row>
    <row r="115" spans="1:12" s="751" customFormat="1" ht="19.5" customHeight="1">
      <c r="A115" s="453" t="str">
        <f t="shared" si="20"/>
        <v>TP</v>
      </c>
      <c r="B115" s="770">
        <f t="shared" si="21"/>
        <v>91</v>
      </c>
      <c r="C115" s="771" t="s">
        <v>546</v>
      </c>
      <c r="D115" s="772" t="s">
        <v>970</v>
      </c>
      <c r="E115" s="725"/>
      <c r="F115" s="725"/>
      <c r="G115" s="744">
        <f t="array" ref="G115">SUM(IF("155"&amp;C115=KHN&amp;MH,SL))</f>
        <v>316</v>
      </c>
      <c r="H115" s="744">
        <f t="array" ref="H115">SUM(IF("155"&amp;C115=KHN&amp;MH,TH))</f>
        <v>2344436</v>
      </c>
      <c r="I115" s="744">
        <f t="array" ref="I115">SUM(IF("155"&amp;C115=KHC&amp;MH,SL))</f>
        <v>316</v>
      </c>
      <c r="J115" s="744">
        <f t="array" ref="J115">SUM(IF("155"&amp;C115=KHC&amp;MH,TH))</f>
        <v>2344436</v>
      </c>
      <c r="K115" s="725">
        <f t="shared" si="18"/>
        <v>0</v>
      </c>
      <c r="L115" s="725">
        <f t="shared" si="19"/>
        <v>0</v>
      </c>
    </row>
    <row r="116" spans="1:12" s="751" customFormat="1" ht="19.5" customHeight="1">
      <c r="A116" s="453" t="str">
        <f t="shared" si="20"/>
        <v>TP</v>
      </c>
      <c r="B116" s="770">
        <f t="shared" si="21"/>
        <v>92</v>
      </c>
      <c r="C116" s="771" t="s">
        <v>811</v>
      </c>
      <c r="D116" s="772" t="s">
        <v>970</v>
      </c>
      <c r="E116" s="725"/>
      <c r="F116" s="725"/>
      <c r="G116" s="744">
        <f t="array" ref="G116">SUM(IF("155"&amp;C116=KHN&amp;MH,SL))</f>
        <v>66913</v>
      </c>
      <c r="H116" s="744">
        <f t="array" ref="H116">SUM(IF("155"&amp;C116=KHN&amp;MH,TH))</f>
        <v>427658961</v>
      </c>
      <c r="I116" s="744">
        <f t="array" ref="I116">SUM(IF("155"&amp;C116=KHC&amp;MH,SL))</f>
        <v>66913</v>
      </c>
      <c r="J116" s="744">
        <f t="array" ref="J116">SUM(IF("155"&amp;C116=KHC&amp;MH,TH))</f>
        <v>427658961</v>
      </c>
      <c r="K116" s="725">
        <f t="shared" si="18"/>
        <v>0</v>
      </c>
      <c r="L116" s="725">
        <f t="shared" si="19"/>
        <v>0</v>
      </c>
    </row>
    <row r="117" spans="1:12" s="751" customFormat="1" ht="18.75" customHeight="1">
      <c r="A117" s="453" t="str">
        <f t="shared" si="20"/>
        <v>TP</v>
      </c>
      <c r="B117" s="770">
        <f t="shared" si="21"/>
        <v>93</v>
      </c>
      <c r="C117" s="773" t="s">
        <v>516</v>
      </c>
      <c r="D117" s="772" t="s">
        <v>970</v>
      </c>
      <c r="E117" s="725"/>
      <c r="F117" s="725"/>
      <c r="G117" s="744">
        <f t="array" ref="G117">SUM(IF("155"&amp;C117=KHN&amp;MH,SL))</f>
        <v>404</v>
      </c>
      <c r="H117" s="744">
        <f t="array" ref="H117">SUM(IF("155"&amp;C117=KHN&amp;MH,TH))</f>
        <v>3630084</v>
      </c>
      <c r="I117" s="744">
        <f t="array" ref="I117">SUM(IF("155"&amp;C117=KHC&amp;MH,SL))</f>
        <v>404</v>
      </c>
      <c r="J117" s="744">
        <f t="array" ref="J117">SUM(IF("155"&amp;C117=KHC&amp;MH,TH))</f>
        <v>3630084</v>
      </c>
      <c r="K117" s="725">
        <f t="shared" si="18"/>
        <v>0</v>
      </c>
      <c r="L117" s="725">
        <f t="shared" si="19"/>
        <v>0</v>
      </c>
    </row>
    <row r="118" spans="1:12" s="751" customFormat="1" ht="18.75" customHeight="1">
      <c r="A118" s="453" t="str">
        <f t="shared" si="20"/>
        <v>TP</v>
      </c>
      <c r="B118" s="770">
        <f t="shared" si="21"/>
        <v>94</v>
      </c>
      <c r="C118" s="773" t="s">
        <v>831</v>
      </c>
      <c r="D118" s="772" t="s">
        <v>970</v>
      </c>
      <c r="E118" s="725"/>
      <c r="F118" s="725"/>
      <c r="G118" s="744">
        <f t="array" ref="G118">SUM(IF("155"&amp;C118=KHN&amp;MH,SL))</f>
        <v>400</v>
      </c>
      <c r="H118" s="744">
        <f t="array" ref="H118">SUM(IF("155"&amp;C118=KHN&amp;MH,TH))</f>
        <v>3713023</v>
      </c>
      <c r="I118" s="744">
        <f t="array" ref="I118">SUM(IF("155"&amp;C118=KHC&amp;MH,SL))</f>
        <v>400</v>
      </c>
      <c r="J118" s="744">
        <f t="array" ref="J118">SUM(IF("155"&amp;C118=KHC&amp;MH,TH))</f>
        <v>3713023</v>
      </c>
      <c r="K118" s="725">
        <f t="shared" si="18"/>
        <v>0</v>
      </c>
      <c r="L118" s="725">
        <f t="shared" si="19"/>
        <v>0</v>
      </c>
    </row>
    <row r="119" spans="1:12" s="751" customFormat="1" ht="18.75" customHeight="1">
      <c r="A119" s="453" t="str">
        <f t="shared" si="20"/>
        <v>TP</v>
      </c>
      <c r="B119" s="770">
        <f t="shared" si="21"/>
        <v>95</v>
      </c>
      <c r="C119" s="771" t="s">
        <v>682</v>
      </c>
      <c r="D119" s="772" t="s">
        <v>970</v>
      </c>
      <c r="E119" s="725"/>
      <c r="F119" s="725"/>
      <c r="G119" s="744">
        <f t="array" ref="G119">SUM(IF("155"&amp;C119=KHN&amp;MH,SL))</f>
        <v>608</v>
      </c>
      <c r="H119" s="744">
        <f t="array" ref="H119">SUM(IF("155"&amp;C119=KHN&amp;MH,TH))</f>
        <v>6985352</v>
      </c>
      <c r="I119" s="744">
        <f t="array" ref="I119">SUM(IF("155"&amp;C119=KHC&amp;MH,SL))</f>
        <v>608</v>
      </c>
      <c r="J119" s="744">
        <f t="array" ref="J119">SUM(IF("155"&amp;C119=KHC&amp;MH,TH))</f>
        <v>6985352</v>
      </c>
      <c r="K119" s="725">
        <f t="shared" si="18"/>
        <v>0</v>
      </c>
      <c r="L119" s="725">
        <f t="shared" si="19"/>
        <v>0</v>
      </c>
    </row>
    <row r="120" spans="1:12" s="751" customFormat="1" ht="18.75" customHeight="1">
      <c r="A120" s="453" t="str">
        <f t="shared" si="20"/>
        <v>TP</v>
      </c>
      <c r="B120" s="770">
        <f t="shared" si="21"/>
        <v>96</v>
      </c>
      <c r="C120" s="771" t="s">
        <v>532</v>
      </c>
      <c r="D120" s="772" t="s">
        <v>970</v>
      </c>
      <c r="E120" s="725"/>
      <c r="F120" s="725"/>
      <c r="G120" s="744">
        <f t="array" ref="G120">SUM(IF("155"&amp;C120=KHN&amp;MH,SL))</f>
        <v>120</v>
      </c>
      <c r="H120" s="744">
        <f t="array" ref="H120">SUM(IF("155"&amp;C120=KHN&amp;MH,TH))</f>
        <v>1513497</v>
      </c>
      <c r="I120" s="744">
        <f t="array" ref="I120">SUM(IF("155"&amp;C120=KHC&amp;MH,SL))</f>
        <v>120</v>
      </c>
      <c r="J120" s="744">
        <f t="array" ref="J120">SUM(IF("155"&amp;C120=KHC&amp;MH,TH))</f>
        <v>1513497</v>
      </c>
      <c r="K120" s="725">
        <f t="shared" si="18"/>
        <v>0</v>
      </c>
      <c r="L120" s="725">
        <f t="shared" si="19"/>
        <v>0</v>
      </c>
    </row>
    <row r="121" spans="1:12" s="751" customFormat="1" ht="18.75" customHeight="1">
      <c r="A121" s="453" t="str">
        <f t="shared" si="20"/>
        <v>TP</v>
      </c>
      <c r="B121" s="770">
        <f t="shared" si="21"/>
        <v>97</v>
      </c>
      <c r="C121" s="757" t="s">
        <v>959</v>
      </c>
      <c r="D121" s="772" t="s">
        <v>970</v>
      </c>
      <c r="E121" s="725"/>
      <c r="F121" s="725"/>
      <c r="G121" s="744">
        <f t="array" ref="G121">SUM(IF("155"&amp;C121=KHN&amp;MH,SL))</f>
        <v>188</v>
      </c>
      <c r="H121" s="744">
        <f t="array" ref="H121">SUM(IF("155"&amp;C121=KHN&amp;MH,TH))</f>
        <v>1730816</v>
      </c>
      <c r="I121" s="744">
        <f t="array" ref="I121">SUM(IF("155"&amp;C121=KHC&amp;MH,SL))</f>
        <v>188</v>
      </c>
      <c r="J121" s="744">
        <f t="array" ref="J121">SUM(IF("155"&amp;C121=KHC&amp;MH,TH))</f>
        <v>1730816</v>
      </c>
      <c r="K121" s="725">
        <f t="shared" ref="K121:K152" si="22">E121+G121-I121</f>
        <v>0</v>
      </c>
      <c r="L121" s="725">
        <f t="shared" ref="L121:L152" si="23">F121+H121-J121</f>
        <v>0</v>
      </c>
    </row>
    <row r="122" spans="1:12" s="751" customFormat="1" ht="18.75" customHeight="1">
      <c r="A122" s="453" t="str">
        <f t="shared" si="20"/>
        <v>TP</v>
      </c>
      <c r="B122" s="770">
        <f t="shared" si="21"/>
        <v>98</v>
      </c>
      <c r="C122" s="771" t="s">
        <v>534</v>
      </c>
      <c r="D122" s="772" t="s">
        <v>970</v>
      </c>
      <c r="E122" s="725"/>
      <c r="F122" s="725"/>
      <c r="G122" s="744">
        <f t="array" ref="G122">SUM(IF("155"&amp;C122=KHN&amp;MH,SL))</f>
        <v>1000</v>
      </c>
      <c r="H122" s="744">
        <f t="array" ref="H122">SUM(IF("155"&amp;C122=KHN&amp;MH,TH))</f>
        <v>5935282</v>
      </c>
      <c r="I122" s="744">
        <f t="array" ref="I122">SUM(IF("155"&amp;C122=KHC&amp;MH,SL))</f>
        <v>1000</v>
      </c>
      <c r="J122" s="744">
        <f t="array" ref="J122">SUM(IF("155"&amp;C122=KHC&amp;MH,TH))</f>
        <v>5935282</v>
      </c>
      <c r="K122" s="725">
        <f t="shared" si="22"/>
        <v>0</v>
      </c>
      <c r="L122" s="725">
        <f t="shared" si="23"/>
        <v>0</v>
      </c>
    </row>
    <row r="123" spans="1:12" s="751" customFormat="1" ht="18.75" customHeight="1">
      <c r="A123" s="453" t="str">
        <f t="shared" si="20"/>
        <v>TP</v>
      </c>
      <c r="B123" s="770">
        <f t="shared" si="21"/>
        <v>99</v>
      </c>
      <c r="C123" s="757" t="s">
        <v>918</v>
      </c>
      <c r="D123" s="772" t="s">
        <v>970</v>
      </c>
      <c r="E123" s="725"/>
      <c r="F123" s="725"/>
      <c r="G123" s="744">
        <f t="array" ref="G123">SUM(IF("155"&amp;C123=KHN&amp;MH,SL))</f>
        <v>1070</v>
      </c>
      <c r="H123" s="744">
        <f t="array" ref="H123">SUM(IF("155"&amp;C123=KHN&amp;MH,TH))</f>
        <v>7815608</v>
      </c>
      <c r="I123" s="744">
        <f t="array" ref="I123">SUM(IF("155"&amp;C123=KHC&amp;MH,SL))</f>
        <v>1070</v>
      </c>
      <c r="J123" s="744">
        <f t="array" ref="J123">SUM(IF("155"&amp;C123=KHC&amp;MH,TH))</f>
        <v>7815608</v>
      </c>
      <c r="K123" s="725">
        <f t="shared" si="22"/>
        <v>0</v>
      </c>
      <c r="L123" s="725">
        <f t="shared" si="23"/>
        <v>0</v>
      </c>
    </row>
    <row r="124" spans="1:12" s="751" customFormat="1" ht="18.75" customHeight="1">
      <c r="A124" s="453" t="str">
        <f t="shared" si="20"/>
        <v>TP</v>
      </c>
      <c r="B124" s="770">
        <f t="shared" si="21"/>
        <v>100</v>
      </c>
      <c r="C124" s="771" t="s">
        <v>518</v>
      </c>
      <c r="D124" s="772" t="s">
        <v>970</v>
      </c>
      <c r="E124" s="725"/>
      <c r="F124" s="725"/>
      <c r="G124" s="744">
        <f t="array" ref="G124">SUM(IF("155"&amp;C124=KHN&amp;MH,SL))</f>
        <v>4294</v>
      </c>
      <c r="H124" s="744">
        <f t="array" ref="H124">SUM(IF("155"&amp;C124=KHN&amp;MH,TH))</f>
        <v>28859266</v>
      </c>
      <c r="I124" s="744">
        <f t="array" ref="I124">SUM(IF("155"&amp;C124=KHC&amp;MH,SL))</f>
        <v>4294</v>
      </c>
      <c r="J124" s="744">
        <f t="array" ref="J124">SUM(IF("155"&amp;C124=KHC&amp;MH,TH))</f>
        <v>28859266</v>
      </c>
      <c r="K124" s="725">
        <f t="shared" si="22"/>
        <v>0</v>
      </c>
      <c r="L124" s="725">
        <f t="shared" si="23"/>
        <v>0</v>
      </c>
    </row>
    <row r="125" spans="1:12" s="751" customFormat="1" ht="18.75" customHeight="1">
      <c r="A125" s="453" t="str">
        <f t="shared" si="20"/>
        <v>TP</v>
      </c>
      <c r="B125" s="770">
        <f t="shared" si="21"/>
        <v>101</v>
      </c>
      <c r="C125" s="771" t="s">
        <v>525</v>
      </c>
      <c r="D125" s="772" t="s">
        <v>970</v>
      </c>
      <c r="E125" s="725"/>
      <c r="F125" s="725"/>
      <c r="G125" s="744">
        <f t="array" ref="G125">SUM(IF("155"&amp;C125=KHN&amp;MH,SL))</f>
        <v>429</v>
      </c>
      <c r="H125" s="744">
        <f t="array" ref="H125">SUM(IF("155"&amp;C125=KHN&amp;MH,TH))</f>
        <v>2829151</v>
      </c>
      <c r="I125" s="744">
        <f t="array" ref="I125">SUM(IF("155"&amp;C125=KHC&amp;MH,SL))</f>
        <v>429</v>
      </c>
      <c r="J125" s="744">
        <f t="array" ref="J125">SUM(IF("155"&amp;C125=KHC&amp;MH,TH))</f>
        <v>2829151</v>
      </c>
      <c r="K125" s="725">
        <f t="shared" si="22"/>
        <v>0</v>
      </c>
      <c r="L125" s="725">
        <f t="shared" si="23"/>
        <v>0</v>
      </c>
    </row>
    <row r="126" spans="1:12" s="751" customFormat="1" ht="18.75" customHeight="1">
      <c r="A126" s="453" t="str">
        <f t="shared" si="20"/>
        <v>TP</v>
      </c>
      <c r="B126" s="770">
        <f t="shared" si="21"/>
        <v>102</v>
      </c>
      <c r="C126" s="757" t="s">
        <v>690</v>
      </c>
      <c r="D126" s="772" t="s">
        <v>970</v>
      </c>
      <c r="E126" s="725"/>
      <c r="F126" s="725"/>
      <c r="G126" s="744">
        <f t="array" ref="G126">SUM(IF("155"&amp;C126=KHN&amp;MH,SL))</f>
        <v>318</v>
      </c>
      <c r="H126" s="744">
        <f t="array" ref="H126">SUM(IF("155"&amp;C126=KHN&amp;MH,TH))</f>
        <v>2032423</v>
      </c>
      <c r="I126" s="744">
        <f t="array" ref="I126">SUM(IF("155"&amp;C126=KHC&amp;MH,SL))</f>
        <v>318</v>
      </c>
      <c r="J126" s="744">
        <f t="array" ref="J126">SUM(IF("155"&amp;C126=KHC&amp;MH,TH))</f>
        <v>2032423</v>
      </c>
      <c r="K126" s="725">
        <f t="shared" si="22"/>
        <v>0</v>
      </c>
      <c r="L126" s="725">
        <f t="shared" si="23"/>
        <v>0</v>
      </c>
    </row>
    <row r="127" spans="1:12" s="751" customFormat="1" ht="18.75" customHeight="1">
      <c r="A127" s="453" t="str">
        <f t="shared" si="20"/>
        <v>TP</v>
      </c>
      <c r="B127" s="770">
        <f t="shared" si="21"/>
        <v>103</v>
      </c>
      <c r="C127" s="771" t="s">
        <v>544</v>
      </c>
      <c r="D127" s="772" t="s">
        <v>970</v>
      </c>
      <c r="E127" s="725"/>
      <c r="F127" s="725"/>
      <c r="G127" s="744">
        <f t="array" ref="G127">SUM(IF("155"&amp;C127=KHN&amp;MH,SL))</f>
        <v>1230</v>
      </c>
      <c r="H127" s="744">
        <f t="array" ref="H127">SUM(IF("155"&amp;C127=KHN&amp;MH,TH))</f>
        <v>9226890</v>
      </c>
      <c r="I127" s="744">
        <f t="array" ref="I127">SUM(IF("155"&amp;C127=KHC&amp;MH,SL))</f>
        <v>1230</v>
      </c>
      <c r="J127" s="744">
        <f t="array" ref="J127">SUM(IF("155"&amp;C127=KHC&amp;MH,TH))</f>
        <v>9226890</v>
      </c>
      <c r="K127" s="725">
        <f t="shared" si="22"/>
        <v>0</v>
      </c>
      <c r="L127" s="725">
        <f t="shared" si="23"/>
        <v>0</v>
      </c>
    </row>
    <row r="128" spans="1:12" s="751" customFormat="1" ht="18.75" customHeight="1">
      <c r="A128" s="453" t="str">
        <f t="shared" si="20"/>
        <v>TP</v>
      </c>
      <c r="B128" s="770">
        <f t="shared" si="21"/>
        <v>104</v>
      </c>
      <c r="C128" s="771" t="s">
        <v>526</v>
      </c>
      <c r="D128" s="772" t="s">
        <v>970</v>
      </c>
      <c r="E128" s="725"/>
      <c r="F128" s="725"/>
      <c r="G128" s="744">
        <f t="array" ref="G128">SUM(IF("155"&amp;C128=KHN&amp;MH,SL))</f>
        <v>370</v>
      </c>
      <c r="H128" s="744">
        <f t="array" ref="H128">SUM(IF("155"&amp;C128=KHN&amp;MH,TH))</f>
        <v>2836570</v>
      </c>
      <c r="I128" s="744">
        <f t="array" ref="I128">SUM(IF("155"&amp;C128=KHC&amp;MH,SL))</f>
        <v>370</v>
      </c>
      <c r="J128" s="744">
        <f t="array" ref="J128">SUM(IF("155"&amp;C128=KHC&amp;MH,TH))</f>
        <v>2836570</v>
      </c>
      <c r="K128" s="725">
        <f t="shared" si="22"/>
        <v>0</v>
      </c>
      <c r="L128" s="725">
        <f t="shared" si="23"/>
        <v>0</v>
      </c>
    </row>
    <row r="129" spans="1:12" s="751" customFormat="1" ht="18.75" customHeight="1">
      <c r="A129" s="453" t="str">
        <f t="shared" si="20"/>
        <v>TP</v>
      </c>
      <c r="B129" s="770">
        <f t="shared" si="21"/>
        <v>105</v>
      </c>
      <c r="C129" s="771" t="s">
        <v>538</v>
      </c>
      <c r="D129" s="772" t="s">
        <v>970</v>
      </c>
      <c r="E129" s="725"/>
      <c r="F129" s="725"/>
      <c r="G129" s="744">
        <f t="array" ref="G129">SUM(IF("155"&amp;C129=KHN&amp;MH,SL))</f>
        <v>1024</v>
      </c>
      <c r="H129" s="744">
        <f t="array" ref="H129">SUM(IF("155"&amp;C129=KHN&amp;MH,TH))</f>
        <v>7867861</v>
      </c>
      <c r="I129" s="744">
        <f t="array" ref="I129">SUM(IF("155"&amp;C129=KHC&amp;MH,SL))</f>
        <v>1024</v>
      </c>
      <c r="J129" s="744">
        <f t="array" ref="J129">SUM(IF("155"&amp;C129=KHC&amp;MH,TH))</f>
        <v>7867861</v>
      </c>
      <c r="K129" s="725">
        <f t="shared" si="22"/>
        <v>0</v>
      </c>
      <c r="L129" s="725">
        <f t="shared" si="23"/>
        <v>0</v>
      </c>
    </row>
    <row r="130" spans="1:12" s="751" customFormat="1" ht="18.75" customHeight="1">
      <c r="A130" s="453" t="str">
        <f t="shared" si="20"/>
        <v>TP</v>
      </c>
      <c r="B130" s="770">
        <f t="shared" si="21"/>
        <v>106</v>
      </c>
      <c r="C130" s="771" t="s">
        <v>545</v>
      </c>
      <c r="D130" s="772" t="s">
        <v>970</v>
      </c>
      <c r="E130" s="725"/>
      <c r="F130" s="725"/>
      <c r="G130" s="744">
        <f t="array" ref="G130">SUM(IF("155"&amp;C130=KHN&amp;MH,SL))</f>
        <v>304</v>
      </c>
      <c r="H130" s="744">
        <f t="array" ref="H130">SUM(IF("155"&amp;C130=KHN&amp;MH,TH))</f>
        <v>2029866</v>
      </c>
      <c r="I130" s="744">
        <f t="array" ref="I130">SUM(IF("155"&amp;C130=KHC&amp;MH,SL))</f>
        <v>304</v>
      </c>
      <c r="J130" s="744">
        <f t="array" ref="J130">SUM(IF("155"&amp;C130=KHC&amp;MH,TH))</f>
        <v>2029866</v>
      </c>
      <c r="K130" s="725">
        <f t="shared" si="22"/>
        <v>0</v>
      </c>
      <c r="L130" s="725">
        <f t="shared" si="23"/>
        <v>0</v>
      </c>
    </row>
    <row r="131" spans="1:12" s="751" customFormat="1" ht="18.75" customHeight="1">
      <c r="A131" s="453" t="str">
        <f t="shared" si="20"/>
        <v>TP</v>
      </c>
      <c r="B131" s="770">
        <f t="shared" si="21"/>
        <v>107</v>
      </c>
      <c r="C131" s="771" t="s">
        <v>666</v>
      </c>
      <c r="D131" s="772" t="s">
        <v>970</v>
      </c>
      <c r="E131" s="725"/>
      <c r="F131" s="725"/>
      <c r="G131" s="744">
        <f t="array" ref="G131">SUM(IF("155"&amp;C131=KHN&amp;MH,SL))</f>
        <v>36</v>
      </c>
      <c r="H131" s="744">
        <f t="array" ref="H131">SUM(IF("155"&amp;C131=KHN&amp;MH,TH))</f>
        <v>372520</v>
      </c>
      <c r="I131" s="744">
        <f t="array" ref="I131">SUM(IF("155"&amp;C131=KHC&amp;MH,SL))</f>
        <v>36</v>
      </c>
      <c r="J131" s="744">
        <f t="array" ref="J131">SUM(IF("155"&amp;C131=KHC&amp;MH,TH))</f>
        <v>372520</v>
      </c>
      <c r="K131" s="725">
        <f t="shared" si="22"/>
        <v>0</v>
      </c>
      <c r="L131" s="725">
        <f t="shared" si="23"/>
        <v>0</v>
      </c>
    </row>
    <row r="132" spans="1:12" s="751" customFormat="1" ht="18.75" customHeight="1">
      <c r="A132" s="453" t="str">
        <f t="shared" si="20"/>
        <v>TP</v>
      </c>
      <c r="B132" s="770">
        <f t="shared" si="21"/>
        <v>108</v>
      </c>
      <c r="C132" s="771" t="s">
        <v>673</v>
      </c>
      <c r="D132" s="772" t="s">
        <v>970</v>
      </c>
      <c r="E132" s="725"/>
      <c r="F132" s="725"/>
      <c r="G132" s="744">
        <f t="array" ref="G132">SUM(IF("155"&amp;C132=KHN&amp;MH,SL))</f>
        <v>160</v>
      </c>
      <c r="H132" s="744">
        <f t="array" ref="H132">SUM(IF("155"&amp;C132=KHN&amp;MH,TH))</f>
        <v>2130423</v>
      </c>
      <c r="I132" s="744">
        <f t="array" ref="I132">SUM(IF("155"&amp;C132=KHC&amp;MH,SL))</f>
        <v>160</v>
      </c>
      <c r="J132" s="744">
        <f t="array" ref="J132">SUM(IF("155"&amp;C132=KHC&amp;MH,TH))</f>
        <v>2130423</v>
      </c>
      <c r="K132" s="725">
        <f t="shared" si="22"/>
        <v>0</v>
      </c>
      <c r="L132" s="725">
        <f t="shared" si="23"/>
        <v>0</v>
      </c>
    </row>
    <row r="133" spans="1:12" s="751" customFormat="1" ht="18.75" customHeight="1">
      <c r="A133" s="453" t="str">
        <f t="shared" si="20"/>
        <v>TP</v>
      </c>
      <c r="B133" s="770">
        <f t="shared" si="21"/>
        <v>109</v>
      </c>
      <c r="C133" s="757" t="s">
        <v>535</v>
      </c>
      <c r="D133" s="772" t="s">
        <v>970</v>
      </c>
      <c r="E133" s="725"/>
      <c r="F133" s="725"/>
      <c r="G133" s="744">
        <f t="array" ref="G133">SUM(IF("155"&amp;C133=KHN&amp;MH,SL))</f>
        <v>970</v>
      </c>
      <c r="H133" s="744">
        <f t="array" ref="H133">SUM(IF("155"&amp;C133=KHN&amp;MH,TH))</f>
        <v>5997108</v>
      </c>
      <c r="I133" s="744">
        <f t="array" ref="I133">SUM(IF("155"&amp;C133=KHC&amp;MH,SL))</f>
        <v>970</v>
      </c>
      <c r="J133" s="744">
        <f t="array" ref="J133">SUM(IF("155"&amp;C133=KHC&amp;MH,TH))</f>
        <v>5997108</v>
      </c>
      <c r="K133" s="725">
        <f t="shared" si="22"/>
        <v>0</v>
      </c>
      <c r="L133" s="725">
        <f t="shared" si="23"/>
        <v>0</v>
      </c>
    </row>
    <row r="134" spans="1:12" s="751" customFormat="1" ht="18.75" customHeight="1">
      <c r="A134" s="453" t="str">
        <f t="shared" si="20"/>
        <v>TP</v>
      </c>
      <c r="B134" s="770">
        <f t="shared" si="21"/>
        <v>110</v>
      </c>
      <c r="C134" s="773" t="s">
        <v>651</v>
      </c>
      <c r="D134" s="772" t="s">
        <v>970</v>
      </c>
      <c r="E134" s="725"/>
      <c r="F134" s="725"/>
      <c r="G134" s="744">
        <f t="array" ref="G134">SUM(IF("155"&amp;C134=KHN&amp;MH,SL))</f>
        <v>1215</v>
      </c>
      <c r="H134" s="744">
        <f t="array" ref="H134">SUM(IF("155"&amp;C134=KHN&amp;MH,TH))</f>
        <v>14422735</v>
      </c>
      <c r="I134" s="744">
        <f t="array" ref="I134">SUM(IF("155"&amp;C134=KHC&amp;MH,SL))</f>
        <v>1215</v>
      </c>
      <c r="J134" s="744">
        <f t="array" ref="J134">SUM(IF("155"&amp;C134=KHC&amp;MH,TH))</f>
        <v>14422735</v>
      </c>
      <c r="K134" s="725">
        <f t="shared" si="22"/>
        <v>0</v>
      </c>
      <c r="L134" s="725">
        <f t="shared" si="23"/>
        <v>0</v>
      </c>
    </row>
    <row r="135" spans="1:12" s="751" customFormat="1" ht="18.75" customHeight="1">
      <c r="A135" s="453" t="str">
        <f t="shared" si="20"/>
        <v>TP</v>
      </c>
      <c r="B135" s="770">
        <f t="shared" si="21"/>
        <v>111</v>
      </c>
      <c r="C135" s="771" t="s">
        <v>904</v>
      </c>
      <c r="D135" s="772" t="s">
        <v>970</v>
      </c>
      <c r="E135" s="725"/>
      <c r="F135" s="725"/>
      <c r="G135" s="744">
        <f t="array" ref="G135">SUM(IF("155"&amp;C135=KHN&amp;MH,SL))</f>
        <v>275</v>
      </c>
      <c r="H135" s="744">
        <f t="array" ref="H135">SUM(IF("155"&amp;C135=KHN&amp;MH,TH))</f>
        <v>3473350</v>
      </c>
      <c r="I135" s="744">
        <f t="array" ref="I135">SUM(IF("155"&amp;C135=KHC&amp;MH,SL))</f>
        <v>275</v>
      </c>
      <c r="J135" s="744">
        <f t="array" ref="J135">SUM(IF("155"&amp;C135=KHC&amp;MH,TH))</f>
        <v>3473350</v>
      </c>
      <c r="K135" s="725">
        <f t="shared" si="22"/>
        <v>0</v>
      </c>
      <c r="L135" s="725">
        <f t="shared" si="23"/>
        <v>0</v>
      </c>
    </row>
    <row r="136" spans="1:12" s="751" customFormat="1" ht="18.75" customHeight="1">
      <c r="A136" s="453" t="str">
        <f t="shared" si="20"/>
        <v>TP</v>
      </c>
      <c r="B136" s="770">
        <f t="shared" si="21"/>
        <v>112</v>
      </c>
      <c r="C136" s="773" t="s">
        <v>825</v>
      </c>
      <c r="D136" s="772" t="s">
        <v>970</v>
      </c>
      <c r="E136" s="725"/>
      <c r="F136" s="725"/>
      <c r="G136" s="744">
        <f t="array" ref="G136">SUM(IF("155"&amp;C136=KHN&amp;MH,SL))</f>
        <v>6154</v>
      </c>
      <c r="H136" s="744">
        <f t="array" ref="H136">SUM(IF("155"&amp;C136=KHN&amp;MH,TH))</f>
        <v>45887178</v>
      </c>
      <c r="I136" s="744">
        <f t="array" ref="I136">SUM(IF("155"&amp;C136=KHC&amp;MH,SL))</f>
        <v>6154</v>
      </c>
      <c r="J136" s="744">
        <f t="array" ref="J136">SUM(IF("155"&amp;C136=KHC&amp;MH,TH))</f>
        <v>45887178</v>
      </c>
      <c r="K136" s="725">
        <f t="shared" si="22"/>
        <v>0</v>
      </c>
      <c r="L136" s="725">
        <f t="shared" si="23"/>
        <v>0</v>
      </c>
    </row>
    <row r="137" spans="1:12" s="751" customFormat="1" ht="18.75" customHeight="1">
      <c r="A137" s="453" t="str">
        <f t="shared" si="20"/>
        <v>TP</v>
      </c>
      <c r="B137" s="770">
        <f t="shared" si="21"/>
        <v>113</v>
      </c>
      <c r="C137" s="771" t="s">
        <v>915</v>
      </c>
      <c r="D137" s="772" t="s">
        <v>970</v>
      </c>
      <c r="E137" s="725"/>
      <c r="F137" s="725"/>
      <c r="G137" s="744">
        <f t="array" ref="G137">SUM(IF("155"&amp;C137=KHN&amp;MH,SL))</f>
        <v>1006</v>
      </c>
      <c r="H137" s="744">
        <f t="array" ref="H137">SUM(IF("155"&amp;C137=KHN&amp;MH,TH))</f>
        <v>7501219</v>
      </c>
      <c r="I137" s="744">
        <f t="array" ref="I137">SUM(IF("155"&amp;C137=KHC&amp;MH,SL))</f>
        <v>1006</v>
      </c>
      <c r="J137" s="744">
        <f t="array" ref="J137">SUM(IF("155"&amp;C137=KHC&amp;MH,TH))</f>
        <v>7501219</v>
      </c>
      <c r="K137" s="725">
        <f t="shared" si="22"/>
        <v>0</v>
      </c>
      <c r="L137" s="725">
        <f t="shared" si="23"/>
        <v>0</v>
      </c>
    </row>
    <row r="138" spans="1:12" s="751" customFormat="1" ht="18.75" customHeight="1">
      <c r="A138" s="453" t="str">
        <f t="shared" si="20"/>
        <v>TP</v>
      </c>
      <c r="B138" s="770">
        <f t="shared" si="21"/>
        <v>114</v>
      </c>
      <c r="C138" s="771" t="s">
        <v>501</v>
      </c>
      <c r="D138" s="772" t="s">
        <v>970</v>
      </c>
      <c r="E138" s="725"/>
      <c r="F138" s="725"/>
      <c r="G138" s="744">
        <f t="array" ref="G138">SUM(IF("155"&amp;C138=KHN&amp;MH,SL))</f>
        <v>1005</v>
      </c>
      <c r="H138" s="744">
        <f t="array" ref="H138">SUM(IF("155"&amp;C138=KHN&amp;MH,TH))</f>
        <v>7704737</v>
      </c>
      <c r="I138" s="744">
        <f t="array" ref="I138">SUM(IF("155"&amp;C138=KHC&amp;MH,SL))</f>
        <v>1005</v>
      </c>
      <c r="J138" s="744">
        <f t="array" ref="J138">SUM(IF("155"&amp;C138=KHC&amp;MH,TH))</f>
        <v>7704737</v>
      </c>
      <c r="K138" s="725">
        <f t="shared" si="22"/>
        <v>0</v>
      </c>
      <c r="L138" s="725">
        <f t="shared" si="23"/>
        <v>0</v>
      </c>
    </row>
    <row r="139" spans="1:12" s="751" customFormat="1" ht="18.75" customHeight="1">
      <c r="A139" s="453" t="str">
        <f t="shared" si="20"/>
        <v>TP</v>
      </c>
      <c r="B139" s="770">
        <f t="shared" si="21"/>
        <v>115</v>
      </c>
      <c r="C139" s="771" t="s">
        <v>520</v>
      </c>
      <c r="D139" s="772" t="s">
        <v>970</v>
      </c>
      <c r="E139" s="725"/>
      <c r="F139" s="725"/>
      <c r="G139" s="744">
        <f t="array" ref="G139">SUM(IF("155"&amp;C139=KHN&amp;MH,SL))</f>
        <v>1678</v>
      </c>
      <c r="H139" s="744">
        <f t="array" ref="H139">SUM(IF("155"&amp;C139=KHN&amp;MH,TH))</f>
        <v>21194396</v>
      </c>
      <c r="I139" s="744">
        <f t="array" ref="I139">SUM(IF("155"&amp;C139=KHC&amp;MH,SL))</f>
        <v>1678</v>
      </c>
      <c r="J139" s="744">
        <f t="array" ref="J139">SUM(IF("155"&amp;C139=KHC&amp;MH,TH))</f>
        <v>21194396</v>
      </c>
      <c r="K139" s="725">
        <f t="shared" si="22"/>
        <v>0</v>
      </c>
      <c r="L139" s="725">
        <f t="shared" si="23"/>
        <v>0</v>
      </c>
    </row>
    <row r="140" spans="1:12" s="751" customFormat="1" ht="18.75" customHeight="1">
      <c r="A140" s="453" t="str">
        <f t="shared" si="20"/>
        <v>TP</v>
      </c>
      <c r="B140" s="770">
        <f t="shared" si="21"/>
        <v>116</v>
      </c>
      <c r="C140" s="771" t="s">
        <v>826</v>
      </c>
      <c r="D140" s="772" t="s">
        <v>970</v>
      </c>
      <c r="E140" s="725"/>
      <c r="F140" s="725"/>
      <c r="G140" s="744">
        <f t="array" ref="G140">SUM(IF("155"&amp;C140=KHN&amp;MH,SL))</f>
        <v>6118</v>
      </c>
      <c r="H140" s="744">
        <f t="array" ref="H140">SUM(IF("155"&amp;C140=KHN&amp;MH,TH))</f>
        <v>54928693</v>
      </c>
      <c r="I140" s="744">
        <f t="array" ref="I140">SUM(IF("155"&amp;C140=KHC&amp;MH,SL))</f>
        <v>6118</v>
      </c>
      <c r="J140" s="744">
        <f t="array" ref="J140">SUM(IF("155"&amp;C140=KHC&amp;MH,TH))</f>
        <v>54928693</v>
      </c>
      <c r="K140" s="725">
        <f t="shared" si="22"/>
        <v>0</v>
      </c>
      <c r="L140" s="725">
        <f t="shared" si="23"/>
        <v>0</v>
      </c>
    </row>
    <row r="141" spans="1:12" s="751" customFormat="1" ht="18.75" customHeight="1">
      <c r="A141" s="453" t="str">
        <f t="shared" si="20"/>
        <v>TP</v>
      </c>
      <c r="B141" s="770">
        <f t="shared" si="21"/>
        <v>117</v>
      </c>
      <c r="C141" s="773" t="s">
        <v>914</v>
      </c>
      <c r="D141" s="772" t="s">
        <v>970</v>
      </c>
      <c r="E141" s="725"/>
      <c r="F141" s="725"/>
      <c r="G141" s="744">
        <f t="array" ref="G141">SUM(IF("155"&amp;C141=KHN&amp;MH,SL))</f>
        <v>1010</v>
      </c>
      <c r="H141" s="744">
        <f t="array" ref="H141">SUM(IF("155"&amp;C141=KHN&amp;MH,TH))</f>
        <v>8760603</v>
      </c>
      <c r="I141" s="744">
        <f t="array" ref="I141">SUM(IF("155"&amp;C141=KHC&amp;MH,SL))</f>
        <v>1010</v>
      </c>
      <c r="J141" s="744">
        <f t="array" ref="J141">SUM(IF("155"&amp;C141=KHC&amp;MH,TH))</f>
        <v>8760603</v>
      </c>
      <c r="K141" s="725">
        <f t="shared" si="22"/>
        <v>0</v>
      </c>
      <c r="L141" s="725">
        <f t="shared" si="23"/>
        <v>0</v>
      </c>
    </row>
    <row r="142" spans="1:12" s="751" customFormat="1" ht="18.75" customHeight="1">
      <c r="A142" s="453" t="str">
        <f t="shared" si="20"/>
        <v>TP</v>
      </c>
      <c r="B142" s="770">
        <f t="shared" si="21"/>
        <v>118</v>
      </c>
      <c r="C142" s="773" t="s">
        <v>687</v>
      </c>
      <c r="D142" s="772" t="s">
        <v>970</v>
      </c>
      <c r="E142" s="725"/>
      <c r="F142" s="725"/>
      <c r="G142" s="744">
        <f t="array" ref="G142">SUM(IF("155"&amp;C142=KHN&amp;MH,SL))</f>
        <v>21</v>
      </c>
      <c r="H142" s="744">
        <f t="array" ref="H142">SUM(IF("155"&amp;C142=KHN&amp;MH,TH))</f>
        <v>458574</v>
      </c>
      <c r="I142" s="744">
        <f t="array" ref="I142">SUM(IF("155"&amp;C142=KHC&amp;MH,SL))</f>
        <v>21</v>
      </c>
      <c r="J142" s="744">
        <f t="array" ref="J142">SUM(IF("155"&amp;C142=KHC&amp;MH,TH))</f>
        <v>458574</v>
      </c>
      <c r="K142" s="725">
        <f t="shared" si="22"/>
        <v>0</v>
      </c>
      <c r="L142" s="725">
        <f t="shared" si="23"/>
        <v>0</v>
      </c>
    </row>
    <row r="143" spans="1:12" s="751" customFormat="1" ht="18.75" customHeight="1">
      <c r="A143" s="453" t="str">
        <f t="shared" si="20"/>
        <v>TP</v>
      </c>
      <c r="B143" s="770">
        <f t="shared" si="21"/>
        <v>119</v>
      </c>
      <c r="C143" s="757" t="s">
        <v>685</v>
      </c>
      <c r="D143" s="772" t="s">
        <v>970</v>
      </c>
      <c r="E143" s="725"/>
      <c r="F143" s="725"/>
      <c r="G143" s="744">
        <f t="array" ref="G143">SUM(IF("155"&amp;C143=KHN&amp;MH,SL))</f>
        <v>27</v>
      </c>
      <c r="H143" s="744">
        <f t="array" ref="H143">SUM(IF("155"&amp;C143=KHN&amp;MH,TH))</f>
        <v>679985</v>
      </c>
      <c r="I143" s="744">
        <f t="array" ref="I143">SUM(IF("155"&amp;C143=KHC&amp;MH,SL))</f>
        <v>27</v>
      </c>
      <c r="J143" s="744">
        <f t="array" ref="J143">SUM(IF("155"&amp;C143=KHC&amp;MH,TH))</f>
        <v>679985</v>
      </c>
      <c r="K143" s="725">
        <f t="shared" si="22"/>
        <v>0</v>
      </c>
      <c r="L143" s="725">
        <f t="shared" si="23"/>
        <v>0</v>
      </c>
    </row>
    <row r="144" spans="1:12" s="751" customFormat="1" ht="18.75" customHeight="1">
      <c r="A144" s="453" t="str">
        <f t="shared" si="20"/>
        <v>TP</v>
      </c>
      <c r="B144" s="770">
        <f t="shared" si="21"/>
        <v>120</v>
      </c>
      <c r="C144" s="757" t="s">
        <v>684</v>
      </c>
      <c r="D144" s="772" t="s">
        <v>970</v>
      </c>
      <c r="E144" s="725"/>
      <c r="F144" s="725"/>
      <c r="G144" s="744">
        <f t="array" ref="G144">SUM(IF("155"&amp;C144=KHN&amp;MH,SL))</f>
        <v>27</v>
      </c>
      <c r="H144" s="744">
        <f t="array" ref="H144">SUM(IF("155"&amp;C144=KHN&amp;MH,TH))</f>
        <v>747778</v>
      </c>
      <c r="I144" s="744">
        <f t="array" ref="I144">SUM(IF("155"&amp;C144=KHC&amp;MH,SL))</f>
        <v>27</v>
      </c>
      <c r="J144" s="744">
        <f t="array" ref="J144">SUM(IF("155"&amp;C144=KHC&amp;MH,TH))</f>
        <v>747778</v>
      </c>
      <c r="K144" s="725">
        <f t="shared" si="22"/>
        <v>0</v>
      </c>
      <c r="L144" s="725">
        <f t="shared" si="23"/>
        <v>0</v>
      </c>
    </row>
    <row r="145" spans="1:12" s="751" customFormat="1" ht="18.75" customHeight="1">
      <c r="A145" s="453" t="str">
        <f t="shared" si="20"/>
        <v>TP</v>
      </c>
      <c r="B145" s="770">
        <f t="shared" si="21"/>
        <v>121</v>
      </c>
      <c r="C145" s="771" t="s">
        <v>680</v>
      </c>
      <c r="D145" s="772" t="s">
        <v>970</v>
      </c>
      <c r="E145" s="725"/>
      <c r="F145" s="725"/>
      <c r="G145" s="744">
        <f t="array" ref="G145">SUM(IF("155"&amp;C145=KHN&amp;MH,SL))</f>
        <v>6030</v>
      </c>
      <c r="H145" s="744">
        <f t="array" ref="H145">SUM(IF("155"&amp;C145=KHN&amp;MH,TH))</f>
        <v>61020637</v>
      </c>
      <c r="I145" s="744">
        <f t="array" ref="I145">SUM(IF("155"&amp;C145=KHC&amp;MH,SL))</f>
        <v>6030</v>
      </c>
      <c r="J145" s="744">
        <f t="array" ref="J145">SUM(IF("155"&amp;C145=KHC&amp;MH,TH))</f>
        <v>61020637</v>
      </c>
      <c r="K145" s="725">
        <f t="shared" si="22"/>
        <v>0</v>
      </c>
      <c r="L145" s="725">
        <f t="shared" si="23"/>
        <v>0</v>
      </c>
    </row>
    <row r="146" spans="1:12" s="751" customFormat="1" ht="18.75" customHeight="1">
      <c r="A146" s="453" t="str">
        <f t="shared" si="20"/>
        <v>TP</v>
      </c>
      <c r="B146" s="770">
        <f t="shared" si="21"/>
        <v>122</v>
      </c>
      <c r="C146" s="773" t="s">
        <v>894</v>
      </c>
      <c r="D146" s="772" t="s">
        <v>970</v>
      </c>
      <c r="E146" s="725"/>
      <c r="F146" s="725"/>
      <c r="G146" s="744">
        <f t="array" ref="G146">SUM(IF("155"&amp;C146=KHN&amp;MH,SL))</f>
        <v>126</v>
      </c>
      <c r="H146" s="744">
        <f t="array" ref="H146">SUM(IF("155"&amp;C146=KHN&amp;MH,TH))</f>
        <v>1648947</v>
      </c>
      <c r="I146" s="744">
        <f t="array" ref="I146">SUM(IF("155"&amp;C146=KHC&amp;MH,SL))</f>
        <v>126</v>
      </c>
      <c r="J146" s="744">
        <f t="array" ref="J146">SUM(IF("155"&amp;C146=KHC&amp;MH,TH))</f>
        <v>1648947</v>
      </c>
      <c r="K146" s="725">
        <f t="shared" si="22"/>
        <v>0</v>
      </c>
      <c r="L146" s="725">
        <f t="shared" si="23"/>
        <v>0</v>
      </c>
    </row>
    <row r="147" spans="1:12" s="751" customFormat="1" ht="18" customHeight="1">
      <c r="A147" s="453" t="str">
        <f t="shared" si="20"/>
        <v>TP</v>
      </c>
      <c r="B147" s="770">
        <f t="shared" si="21"/>
        <v>123</v>
      </c>
      <c r="C147" s="771" t="s">
        <v>927</v>
      </c>
      <c r="D147" s="772" t="s">
        <v>970</v>
      </c>
      <c r="E147" s="725"/>
      <c r="F147" s="725"/>
      <c r="G147" s="744">
        <f t="array" ref="G147">SUM(IF("155"&amp;C147=KHN&amp;MH,SL))</f>
        <v>244</v>
      </c>
      <c r="H147" s="744">
        <f t="array" ref="H147">SUM(IF("155"&amp;C147=KHN&amp;MH,TH))</f>
        <v>2543421</v>
      </c>
      <c r="I147" s="744">
        <f t="array" ref="I147">SUM(IF("155"&amp;C147=KHC&amp;MH,SL))</f>
        <v>244</v>
      </c>
      <c r="J147" s="744">
        <f t="array" ref="J147">SUM(IF("155"&amp;C147=KHC&amp;MH,TH))</f>
        <v>2543421</v>
      </c>
      <c r="K147" s="725">
        <f t="shared" si="22"/>
        <v>0</v>
      </c>
      <c r="L147" s="725">
        <f t="shared" si="23"/>
        <v>0</v>
      </c>
    </row>
    <row r="148" spans="1:12" s="751" customFormat="1" ht="18" customHeight="1">
      <c r="A148" s="453" t="str">
        <f t="shared" si="20"/>
        <v>TP</v>
      </c>
      <c r="B148" s="770">
        <f t="shared" si="21"/>
        <v>124</v>
      </c>
      <c r="C148" s="771" t="s">
        <v>926</v>
      </c>
      <c r="D148" s="772" t="s">
        <v>970</v>
      </c>
      <c r="E148" s="725"/>
      <c r="F148" s="725"/>
      <c r="G148" s="744">
        <f t="array" ref="G148">SUM(IF("155"&amp;C148=KHN&amp;MH,SL))</f>
        <v>244</v>
      </c>
      <c r="H148" s="744">
        <f t="array" ref="H148">SUM(IF("155"&amp;C148=KHN&amp;MH,TH))</f>
        <v>2710507</v>
      </c>
      <c r="I148" s="744">
        <f t="array" ref="I148">SUM(IF("155"&amp;C148=KHC&amp;MH,SL))</f>
        <v>244</v>
      </c>
      <c r="J148" s="744">
        <f t="array" ref="J148">SUM(IF("155"&amp;C148=KHC&amp;MH,TH))</f>
        <v>2710507</v>
      </c>
      <c r="K148" s="725">
        <f t="shared" si="22"/>
        <v>0</v>
      </c>
      <c r="L148" s="725">
        <f t="shared" si="23"/>
        <v>0</v>
      </c>
    </row>
    <row r="149" spans="1:12" s="751" customFormat="1" ht="18.75" customHeight="1">
      <c r="A149" s="453" t="str">
        <f t="shared" si="20"/>
        <v>TP</v>
      </c>
      <c r="B149" s="770">
        <f t="shared" si="21"/>
        <v>125</v>
      </c>
      <c r="C149" s="771" t="s">
        <v>623</v>
      </c>
      <c r="D149" s="772" t="s">
        <v>970</v>
      </c>
      <c r="E149" s="725"/>
      <c r="F149" s="725"/>
      <c r="G149" s="744">
        <f t="array" ref="G149">SUM(IF("155"&amp;C149=KHN&amp;MH,SL))</f>
        <v>305</v>
      </c>
      <c r="H149" s="744">
        <f t="array" ref="H149">SUM(IF("155"&amp;C149=KHN&amp;MH,TH))</f>
        <v>4827362</v>
      </c>
      <c r="I149" s="744">
        <f t="array" ref="I149">SUM(IF("155"&amp;C149=KHC&amp;MH,SL))</f>
        <v>305</v>
      </c>
      <c r="J149" s="744">
        <f t="array" ref="J149">SUM(IF("155"&amp;C149=KHC&amp;MH,TH))</f>
        <v>4827362</v>
      </c>
      <c r="K149" s="725">
        <f t="shared" si="22"/>
        <v>0</v>
      </c>
      <c r="L149" s="725">
        <f t="shared" si="23"/>
        <v>0</v>
      </c>
    </row>
    <row r="150" spans="1:12" s="751" customFormat="1" ht="18.75" customHeight="1">
      <c r="A150" s="453" t="str">
        <f t="shared" si="20"/>
        <v>TP</v>
      </c>
      <c r="B150" s="770">
        <f t="shared" si="21"/>
        <v>126</v>
      </c>
      <c r="C150" s="771" t="s">
        <v>524</v>
      </c>
      <c r="D150" s="772" t="s">
        <v>970</v>
      </c>
      <c r="E150" s="725"/>
      <c r="F150" s="725"/>
      <c r="G150" s="744">
        <f t="array" ref="G150">SUM(IF("155"&amp;C150=KHN&amp;MH,SL))</f>
        <v>1306</v>
      </c>
      <c r="H150" s="744">
        <f t="array" ref="H150">SUM(IF("155"&amp;C150=KHN&amp;MH,TH))</f>
        <v>19643264</v>
      </c>
      <c r="I150" s="744">
        <f t="array" ref="I150">SUM(IF("155"&amp;C150=KHC&amp;MH,SL))</f>
        <v>1306</v>
      </c>
      <c r="J150" s="744">
        <f t="array" ref="J150">SUM(IF("155"&amp;C150=KHC&amp;MH,TH))</f>
        <v>19643264</v>
      </c>
      <c r="K150" s="725">
        <f t="shared" si="22"/>
        <v>0</v>
      </c>
      <c r="L150" s="725">
        <f t="shared" si="23"/>
        <v>0</v>
      </c>
    </row>
    <row r="151" spans="1:12" s="751" customFormat="1" ht="18.75" customHeight="1">
      <c r="A151" s="453" t="str">
        <f t="shared" si="20"/>
        <v>TP</v>
      </c>
      <c r="B151" s="770">
        <f t="shared" si="21"/>
        <v>127</v>
      </c>
      <c r="C151" s="771" t="s">
        <v>653</v>
      </c>
      <c r="D151" s="772" t="s">
        <v>970</v>
      </c>
      <c r="E151" s="725"/>
      <c r="F151" s="725"/>
      <c r="G151" s="744">
        <f t="array" ref="G151">SUM(IF("155"&amp;C151=KHN&amp;MH,SL))</f>
        <v>684</v>
      </c>
      <c r="H151" s="744">
        <f t="array" ref="H151">SUM(IF("155"&amp;C151=KHN&amp;MH,TH))</f>
        <v>8631469</v>
      </c>
      <c r="I151" s="744">
        <f t="array" ref="I151">SUM(IF("155"&amp;C151=KHC&amp;MH,SL))</f>
        <v>684</v>
      </c>
      <c r="J151" s="744">
        <f t="array" ref="J151">SUM(IF("155"&amp;C151=KHC&amp;MH,TH))</f>
        <v>8631469</v>
      </c>
      <c r="K151" s="725">
        <f t="shared" si="22"/>
        <v>0</v>
      </c>
      <c r="L151" s="725">
        <f t="shared" si="23"/>
        <v>0</v>
      </c>
    </row>
    <row r="152" spans="1:12" s="751" customFormat="1" ht="18.75" customHeight="1">
      <c r="A152" s="453" t="str">
        <f t="shared" si="20"/>
        <v>TP</v>
      </c>
      <c r="B152" s="770">
        <f t="shared" si="21"/>
        <v>128</v>
      </c>
      <c r="C152" s="757" t="s">
        <v>668</v>
      </c>
      <c r="D152" s="772" t="s">
        <v>970</v>
      </c>
      <c r="E152" s="725"/>
      <c r="F152" s="725"/>
      <c r="G152" s="744">
        <f t="array" ref="G152">SUM(IF("155"&amp;C152=KHN&amp;MH,SL))</f>
        <v>18</v>
      </c>
      <c r="H152" s="744">
        <f t="array" ref="H152">SUM(IF("155"&amp;C152=KHN&amp;MH,TH))</f>
        <v>217760</v>
      </c>
      <c r="I152" s="744">
        <f t="array" ref="I152">SUM(IF("155"&amp;C152=KHC&amp;MH,SL))</f>
        <v>18</v>
      </c>
      <c r="J152" s="744">
        <f t="array" ref="J152">SUM(IF("155"&amp;C152=KHC&amp;MH,TH))</f>
        <v>217760</v>
      </c>
      <c r="K152" s="725">
        <f t="shared" si="22"/>
        <v>0</v>
      </c>
      <c r="L152" s="725">
        <f t="shared" si="23"/>
        <v>0</v>
      </c>
    </row>
    <row r="153" spans="1:12" s="751" customFormat="1" ht="18.75" customHeight="1">
      <c r="A153" s="453" t="str">
        <f t="shared" si="20"/>
        <v>TP</v>
      </c>
      <c r="B153" s="770">
        <f t="shared" si="21"/>
        <v>129</v>
      </c>
      <c r="C153" s="771" t="s">
        <v>835</v>
      </c>
      <c r="D153" s="772" t="s">
        <v>970</v>
      </c>
      <c r="E153" s="725"/>
      <c r="F153" s="725"/>
      <c r="G153" s="744">
        <f t="array" ref="G153">SUM(IF("155"&amp;C153=KHN&amp;MH,SL))</f>
        <v>91</v>
      </c>
      <c r="H153" s="744">
        <f t="array" ref="H153">SUM(IF("155"&amp;C153=KHN&amp;MH,TH))</f>
        <v>1557872</v>
      </c>
      <c r="I153" s="744">
        <f t="array" ref="I153">SUM(IF("155"&amp;C153=KHC&amp;MH,SL))</f>
        <v>91</v>
      </c>
      <c r="J153" s="744">
        <f t="array" ref="J153">SUM(IF("155"&amp;C153=KHC&amp;MH,TH))</f>
        <v>1557872</v>
      </c>
      <c r="K153" s="725">
        <f t="shared" ref="K153:K178" si="24">E153+G153-I153</f>
        <v>0</v>
      </c>
      <c r="L153" s="725">
        <f t="shared" ref="L153:L178" si="25">F153+H153-J153</f>
        <v>0</v>
      </c>
    </row>
    <row r="154" spans="1:12" s="751" customFormat="1" ht="18.75" customHeight="1">
      <c r="A154" s="453" t="str">
        <f t="shared" si="20"/>
        <v>TP</v>
      </c>
      <c r="B154" s="770">
        <f t="shared" si="21"/>
        <v>130</v>
      </c>
      <c r="C154" s="757" t="s">
        <v>686</v>
      </c>
      <c r="D154" s="772" t="s">
        <v>970</v>
      </c>
      <c r="E154" s="725"/>
      <c r="F154" s="725"/>
      <c r="G154" s="744">
        <f t="array" ref="G154">SUM(IF("155"&amp;C154=KHN&amp;MH,SL))</f>
        <v>26</v>
      </c>
      <c r="H154" s="744">
        <f t="array" ref="H154">SUM(IF("155"&amp;C154=KHN&amp;MH,TH))</f>
        <v>931756</v>
      </c>
      <c r="I154" s="744">
        <f t="array" ref="I154">SUM(IF("155"&amp;C154=KHC&amp;MH,SL))</f>
        <v>26</v>
      </c>
      <c r="J154" s="744">
        <f t="array" ref="J154">SUM(IF("155"&amp;C154=KHC&amp;MH,TH))</f>
        <v>931756</v>
      </c>
      <c r="K154" s="725">
        <f t="shared" si="24"/>
        <v>0</v>
      </c>
      <c r="L154" s="725">
        <f t="shared" si="25"/>
        <v>0</v>
      </c>
    </row>
    <row r="155" spans="1:12" s="751" customFormat="1" ht="18.75" customHeight="1">
      <c r="A155" s="453" t="str">
        <f t="shared" ref="A155:A172" si="26">IF(B155&lt;&gt;"","TP","")</f>
        <v>TP</v>
      </c>
      <c r="B155" s="770">
        <f t="shared" ref="B155:B172" si="27">IF(C155&lt;&gt;"",B154+1,"")</f>
        <v>131</v>
      </c>
      <c r="C155" s="757" t="s">
        <v>510</v>
      </c>
      <c r="D155" s="772" t="s">
        <v>970</v>
      </c>
      <c r="E155" s="725"/>
      <c r="F155" s="725"/>
      <c r="G155" s="744">
        <f t="array" ref="G155">SUM(IF("155"&amp;C155=KHN&amp;MH,SL))</f>
        <v>102</v>
      </c>
      <c r="H155" s="744">
        <f t="array" ref="H155">SUM(IF("155"&amp;C155=KHN&amp;MH,TH))</f>
        <v>2001179</v>
      </c>
      <c r="I155" s="744">
        <f t="array" ref="I155">SUM(IF("155"&amp;C155=KHC&amp;MH,SL))</f>
        <v>102</v>
      </c>
      <c r="J155" s="744">
        <f t="array" ref="J155">SUM(IF("155"&amp;C155=KHC&amp;MH,TH))</f>
        <v>2001179</v>
      </c>
      <c r="K155" s="725">
        <f t="shared" si="24"/>
        <v>0</v>
      </c>
      <c r="L155" s="725">
        <f t="shared" si="25"/>
        <v>0</v>
      </c>
    </row>
    <row r="156" spans="1:12" s="751" customFormat="1" ht="18.75" customHeight="1">
      <c r="A156" s="453" t="str">
        <f t="shared" si="26"/>
        <v>TP</v>
      </c>
      <c r="B156" s="770">
        <f t="shared" si="27"/>
        <v>132</v>
      </c>
      <c r="C156" s="773" t="s">
        <v>910</v>
      </c>
      <c r="D156" s="772" t="s">
        <v>970</v>
      </c>
      <c r="E156" s="725"/>
      <c r="F156" s="725"/>
      <c r="G156" s="744">
        <f t="array" ref="G156">SUM(IF("155"&amp;C156=KHN&amp;MH,SL))</f>
        <v>24</v>
      </c>
      <c r="H156" s="744">
        <f t="array" ref="H156">SUM(IF("155"&amp;C156=KHN&amp;MH,TH))</f>
        <v>953212</v>
      </c>
      <c r="I156" s="744">
        <f t="array" ref="I156">SUM(IF("155"&amp;C156=KHC&amp;MH,SL))</f>
        <v>24</v>
      </c>
      <c r="J156" s="744">
        <f t="array" ref="J156">SUM(IF("155"&amp;C156=KHC&amp;MH,TH))</f>
        <v>953212</v>
      </c>
      <c r="K156" s="725">
        <f t="shared" si="24"/>
        <v>0</v>
      </c>
      <c r="L156" s="725">
        <f t="shared" si="25"/>
        <v>0</v>
      </c>
    </row>
    <row r="157" spans="1:12" s="751" customFormat="1" ht="18.75" customHeight="1">
      <c r="A157" s="453" t="str">
        <f t="shared" si="26"/>
        <v>TP</v>
      </c>
      <c r="B157" s="770">
        <f t="shared" si="27"/>
        <v>133</v>
      </c>
      <c r="C157" s="771" t="s">
        <v>842</v>
      </c>
      <c r="D157" s="772" t="s">
        <v>970</v>
      </c>
      <c r="E157" s="725"/>
      <c r="F157" s="725"/>
      <c r="G157" s="744">
        <f t="array" ref="G157">SUM(IF("155"&amp;C157=KHN&amp;MH,SL))</f>
        <v>103</v>
      </c>
      <c r="H157" s="744">
        <f t="array" ref="H157">SUM(IF("155"&amp;C157=KHN&amp;MH,TH))</f>
        <v>1238232</v>
      </c>
      <c r="I157" s="744">
        <f t="array" ref="I157">SUM(IF("155"&amp;C157=KHC&amp;MH,SL))</f>
        <v>103</v>
      </c>
      <c r="J157" s="744">
        <f t="array" ref="J157">SUM(IF("155"&amp;C157=KHC&amp;MH,TH))</f>
        <v>1238232</v>
      </c>
      <c r="K157" s="725">
        <f t="shared" si="24"/>
        <v>0</v>
      </c>
      <c r="L157" s="725">
        <f t="shared" si="25"/>
        <v>0</v>
      </c>
    </row>
    <row r="158" spans="1:12" s="751" customFormat="1" ht="18.75" customHeight="1">
      <c r="A158" s="453" t="str">
        <f t="shared" si="26"/>
        <v>TP</v>
      </c>
      <c r="B158" s="770">
        <f t="shared" si="27"/>
        <v>134</v>
      </c>
      <c r="C158" s="771" t="s">
        <v>957</v>
      </c>
      <c r="D158" s="772" t="s">
        <v>970</v>
      </c>
      <c r="E158" s="725"/>
      <c r="F158" s="725"/>
      <c r="G158" s="744">
        <f t="array" ref="G158">SUM(IF("155"&amp;C158=KHN&amp;MH,SL))</f>
        <v>1560</v>
      </c>
      <c r="H158" s="744">
        <f t="array" ref="H158">SUM(IF("155"&amp;C158=KHN&amp;MH,TH))</f>
        <v>14955569</v>
      </c>
      <c r="I158" s="744">
        <f t="array" ref="I158">SUM(IF("155"&amp;C158=KHC&amp;MH,SL))</f>
        <v>1560</v>
      </c>
      <c r="J158" s="744">
        <f t="array" ref="J158">SUM(IF("155"&amp;C158=KHC&amp;MH,TH))</f>
        <v>14955569</v>
      </c>
      <c r="K158" s="725">
        <f t="shared" si="24"/>
        <v>0</v>
      </c>
      <c r="L158" s="725">
        <f t="shared" si="25"/>
        <v>0</v>
      </c>
    </row>
    <row r="159" spans="1:12" s="751" customFormat="1" ht="19.5" customHeight="1">
      <c r="A159" s="453" t="str">
        <f t="shared" si="26"/>
        <v>TP</v>
      </c>
      <c r="B159" s="770">
        <f t="shared" si="27"/>
        <v>135</v>
      </c>
      <c r="C159" s="773" t="s">
        <v>891</v>
      </c>
      <c r="D159" s="772" t="s">
        <v>970</v>
      </c>
      <c r="E159" s="725"/>
      <c r="F159" s="725"/>
      <c r="G159" s="744">
        <f t="array" ref="G159">SUM(IF("155"&amp;C159=KHN&amp;MH,SL))</f>
        <v>70</v>
      </c>
      <c r="H159" s="744">
        <f t="array" ref="H159">SUM(IF("155"&amp;C159=KHN&amp;MH,TH))</f>
        <v>1145102</v>
      </c>
      <c r="I159" s="744">
        <f t="array" ref="I159">SUM(IF("155"&amp;C159=KHC&amp;MH,SL))</f>
        <v>70</v>
      </c>
      <c r="J159" s="744">
        <f t="array" ref="J159">SUM(IF("155"&amp;C159=KHC&amp;MH,TH))</f>
        <v>1145102</v>
      </c>
      <c r="K159" s="725">
        <f t="shared" si="24"/>
        <v>0</v>
      </c>
      <c r="L159" s="725">
        <f t="shared" si="25"/>
        <v>0</v>
      </c>
    </row>
    <row r="160" spans="1:12" s="751" customFormat="1" ht="19.5" customHeight="1">
      <c r="A160" s="453" t="str">
        <f t="shared" si="26"/>
        <v>TP</v>
      </c>
      <c r="B160" s="770">
        <f t="shared" si="27"/>
        <v>136</v>
      </c>
      <c r="C160" s="771" t="s">
        <v>497</v>
      </c>
      <c r="D160" s="772" t="s">
        <v>970</v>
      </c>
      <c r="E160" s="725"/>
      <c r="F160" s="725"/>
      <c r="G160" s="744">
        <f t="array" ref="G160">SUM(IF("155"&amp;C160=KHN&amp;MH,SL))</f>
        <v>220</v>
      </c>
      <c r="H160" s="744">
        <f t="array" ref="H160">SUM(IF("155"&amp;C160=KHN&amp;MH,TH))</f>
        <v>4951014</v>
      </c>
      <c r="I160" s="744">
        <f t="array" ref="I160">SUM(IF("155"&amp;C160=KHC&amp;MH,SL))</f>
        <v>220</v>
      </c>
      <c r="J160" s="744">
        <f t="array" ref="J160">SUM(IF("155"&amp;C160=KHC&amp;MH,TH))</f>
        <v>4951014</v>
      </c>
      <c r="K160" s="725">
        <f t="shared" si="24"/>
        <v>0</v>
      </c>
      <c r="L160" s="725">
        <f t="shared" si="25"/>
        <v>0</v>
      </c>
    </row>
    <row r="161" spans="1:12" s="751" customFormat="1" ht="19.5" customHeight="1">
      <c r="A161" s="453" t="str">
        <f t="shared" si="26"/>
        <v>TP</v>
      </c>
      <c r="B161" s="770">
        <f t="shared" si="27"/>
        <v>137</v>
      </c>
      <c r="C161" s="757" t="s">
        <v>843</v>
      </c>
      <c r="D161" s="772" t="s">
        <v>970</v>
      </c>
      <c r="E161" s="725"/>
      <c r="F161" s="725"/>
      <c r="G161" s="744">
        <f t="array" ref="G161">SUM(IF("155"&amp;C161=KHN&amp;MH,SL))</f>
        <v>273</v>
      </c>
      <c r="H161" s="744">
        <f t="array" ref="H161">SUM(IF("155"&amp;C161=KHN&amp;MH,TH))</f>
        <v>4985190</v>
      </c>
      <c r="I161" s="744">
        <f t="array" ref="I161">SUM(IF("155"&amp;C161=KHC&amp;MH,SL))</f>
        <v>273</v>
      </c>
      <c r="J161" s="744">
        <f t="array" ref="J161">SUM(IF("155"&amp;C161=KHC&amp;MH,TH))</f>
        <v>4985190</v>
      </c>
      <c r="K161" s="725">
        <f t="shared" si="24"/>
        <v>0</v>
      </c>
      <c r="L161" s="725">
        <f t="shared" si="25"/>
        <v>0</v>
      </c>
    </row>
    <row r="162" spans="1:12" s="751" customFormat="1" ht="19.5" customHeight="1">
      <c r="A162" s="453" t="str">
        <f t="shared" si="26"/>
        <v>TP</v>
      </c>
      <c r="B162" s="770">
        <f t="shared" si="27"/>
        <v>138</v>
      </c>
      <c r="C162" s="773" t="s">
        <v>644</v>
      </c>
      <c r="D162" s="772" t="s">
        <v>970</v>
      </c>
      <c r="E162" s="725"/>
      <c r="F162" s="725"/>
      <c r="G162" s="744">
        <f t="array" ref="G162">SUM(IF("155"&amp;C162=KHN&amp;MH,SL))</f>
        <v>550</v>
      </c>
      <c r="H162" s="744">
        <f t="array" ref="H162">SUM(IF("155"&amp;C162=KHN&amp;MH,TH))</f>
        <v>5622030</v>
      </c>
      <c r="I162" s="744">
        <f t="array" ref="I162">SUM(IF("155"&amp;C162=KHC&amp;MH,SL))</f>
        <v>550</v>
      </c>
      <c r="J162" s="744">
        <f t="array" ref="J162">SUM(IF("155"&amp;C162=KHC&amp;MH,TH))</f>
        <v>5622030</v>
      </c>
      <c r="K162" s="725">
        <f t="shared" si="24"/>
        <v>0</v>
      </c>
      <c r="L162" s="725">
        <f t="shared" si="25"/>
        <v>0</v>
      </c>
    </row>
    <row r="163" spans="1:12" s="751" customFormat="1" ht="19.5" customHeight="1">
      <c r="A163" s="453" t="str">
        <f t="shared" si="26"/>
        <v>TP</v>
      </c>
      <c r="B163" s="770">
        <f t="shared" si="27"/>
        <v>139</v>
      </c>
      <c r="C163" s="771" t="s">
        <v>645</v>
      </c>
      <c r="D163" s="772" t="s">
        <v>970</v>
      </c>
      <c r="E163" s="725"/>
      <c r="F163" s="725"/>
      <c r="G163" s="744">
        <f t="array" ref="G163">SUM(IF("155"&amp;C163=KHN&amp;MH,SL))</f>
        <v>530</v>
      </c>
      <c r="H163" s="744">
        <f t="array" ref="H163">SUM(IF("155"&amp;C163=KHN&amp;MH,TH))</f>
        <v>6640921</v>
      </c>
      <c r="I163" s="744">
        <f t="array" ref="I163">SUM(IF("155"&amp;C163=KHC&amp;MH,SL))</f>
        <v>530</v>
      </c>
      <c r="J163" s="744">
        <f t="array" ref="J163">SUM(IF("155"&amp;C163=KHC&amp;MH,TH))</f>
        <v>6640921</v>
      </c>
      <c r="K163" s="725">
        <f t="shared" si="24"/>
        <v>0</v>
      </c>
      <c r="L163" s="725">
        <f t="shared" si="25"/>
        <v>0</v>
      </c>
    </row>
    <row r="164" spans="1:12" s="751" customFormat="1" ht="19.5" customHeight="1">
      <c r="A164" s="453" t="str">
        <f t="shared" si="26"/>
        <v>TP</v>
      </c>
      <c r="B164" s="770">
        <f t="shared" si="27"/>
        <v>140</v>
      </c>
      <c r="C164" s="771" t="s">
        <v>648</v>
      </c>
      <c r="D164" s="772" t="s">
        <v>970</v>
      </c>
      <c r="E164" s="725"/>
      <c r="F164" s="725"/>
      <c r="G164" s="744">
        <f t="array" ref="G164">SUM(IF("155"&amp;C164=KHN&amp;MH,SL))</f>
        <v>330</v>
      </c>
      <c r="H164" s="744">
        <f t="array" ref="H164">SUM(IF("155"&amp;C164=KHN&amp;MH,TH))</f>
        <v>2965168</v>
      </c>
      <c r="I164" s="744">
        <f t="array" ref="I164">SUM(IF("155"&amp;C164=KHC&amp;MH,SL))</f>
        <v>330</v>
      </c>
      <c r="J164" s="744">
        <f t="array" ref="J164">SUM(IF("155"&amp;C164=KHC&amp;MH,TH))</f>
        <v>2965168</v>
      </c>
      <c r="K164" s="725">
        <f t="shared" si="24"/>
        <v>0</v>
      </c>
      <c r="L164" s="725">
        <f t="shared" si="25"/>
        <v>0</v>
      </c>
    </row>
    <row r="165" spans="1:12" s="751" customFormat="1" ht="19.5" customHeight="1">
      <c r="A165" s="453" t="str">
        <f t="shared" si="26"/>
        <v>TP</v>
      </c>
      <c r="B165" s="770">
        <f t="shared" si="27"/>
        <v>141</v>
      </c>
      <c r="C165" s="771" t="s">
        <v>646</v>
      </c>
      <c r="D165" s="772" t="s">
        <v>970</v>
      </c>
      <c r="E165" s="725"/>
      <c r="F165" s="725"/>
      <c r="G165" s="744">
        <f t="array" ref="G165">SUM(IF("155"&amp;C165=KHN&amp;MH,SL))</f>
        <v>630</v>
      </c>
      <c r="H165" s="744">
        <f t="array" ref="H165">SUM(IF("155"&amp;C165=KHN&amp;MH,TH))</f>
        <v>6283979</v>
      </c>
      <c r="I165" s="744">
        <f t="array" ref="I165">SUM(IF("155"&amp;C165=KHC&amp;MH,SL))</f>
        <v>630</v>
      </c>
      <c r="J165" s="744">
        <f t="array" ref="J165">SUM(IF("155"&amp;C165=KHC&amp;MH,TH))</f>
        <v>6283979</v>
      </c>
      <c r="K165" s="725">
        <f t="shared" si="24"/>
        <v>0</v>
      </c>
      <c r="L165" s="725">
        <f t="shared" si="25"/>
        <v>0</v>
      </c>
    </row>
    <row r="166" spans="1:12" s="751" customFormat="1" ht="19.5" customHeight="1">
      <c r="A166" s="453" t="str">
        <f t="shared" si="26"/>
        <v>TP</v>
      </c>
      <c r="B166" s="770">
        <f t="shared" si="27"/>
        <v>142</v>
      </c>
      <c r="C166" s="771" t="s">
        <v>647</v>
      </c>
      <c r="D166" s="772" t="s">
        <v>970</v>
      </c>
      <c r="E166" s="725"/>
      <c r="F166" s="725"/>
      <c r="G166" s="744">
        <f t="array" ref="G166">SUM(IF("155"&amp;C166=KHN&amp;MH,SL))</f>
        <v>800</v>
      </c>
      <c r="H166" s="744">
        <f t="array" ref="H166">SUM(IF("155"&amp;C166=KHN&amp;MH,TH))</f>
        <v>8771026</v>
      </c>
      <c r="I166" s="744">
        <f t="array" ref="I166">SUM(IF("155"&amp;C166=KHC&amp;MH,SL))</f>
        <v>800</v>
      </c>
      <c r="J166" s="744">
        <f t="array" ref="J166">SUM(IF("155"&amp;C166=KHC&amp;MH,TH))</f>
        <v>8771026</v>
      </c>
      <c r="K166" s="725">
        <f t="shared" si="24"/>
        <v>0</v>
      </c>
      <c r="L166" s="725">
        <f t="shared" si="25"/>
        <v>0</v>
      </c>
    </row>
    <row r="167" spans="1:12" s="751" customFormat="1" ht="19.5" customHeight="1">
      <c r="A167" s="453" t="str">
        <f t="shared" si="26"/>
        <v>TP</v>
      </c>
      <c r="B167" s="770">
        <f t="shared" si="27"/>
        <v>143</v>
      </c>
      <c r="C167" s="771" t="s">
        <v>817</v>
      </c>
      <c r="D167" s="772" t="s">
        <v>970</v>
      </c>
      <c r="E167" s="725"/>
      <c r="F167" s="725"/>
      <c r="G167" s="744">
        <f t="array" ref="G167">SUM(IF("155"&amp;C167=KHN&amp;MH,SL))</f>
        <v>360</v>
      </c>
      <c r="H167" s="744">
        <f t="array" ref="H167">SUM(IF("155"&amp;C167=KHN&amp;MH,TH))</f>
        <v>6202369</v>
      </c>
      <c r="I167" s="744">
        <f t="array" ref="I167">SUM(IF("155"&amp;C167=KHC&amp;MH,SL))</f>
        <v>360</v>
      </c>
      <c r="J167" s="744">
        <f t="array" ref="J167">SUM(IF("155"&amp;C167=KHC&amp;MH,TH))</f>
        <v>6202369</v>
      </c>
      <c r="K167" s="725">
        <f t="shared" si="24"/>
        <v>0</v>
      </c>
      <c r="L167" s="725">
        <f t="shared" si="25"/>
        <v>0</v>
      </c>
    </row>
    <row r="168" spans="1:12" s="751" customFormat="1" ht="19.5" customHeight="1">
      <c r="A168" s="453" t="str">
        <f t="shared" si="26"/>
        <v>TP</v>
      </c>
      <c r="B168" s="770">
        <f t="shared" si="27"/>
        <v>144</v>
      </c>
      <c r="C168" s="757" t="s">
        <v>816</v>
      </c>
      <c r="D168" s="772" t="s">
        <v>970</v>
      </c>
      <c r="E168" s="725"/>
      <c r="F168" s="725"/>
      <c r="G168" s="744">
        <f t="array" ref="G168">SUM(IF("155"&amp;C168=KHN&amp;MH,SL))</f>
        <v>500</v>
      </c>
      <c r="H168" s="744">
        <f t="array" ref="H168">SUM(IF("155"&amp;C168=KHN&amp;MH,TH))</f>
        <v>3297379</v>
      </c>
      <c r="I168" s="744">
        <f t="array" ref="I168">SUM(IF("155"&amp;C168=KHC&amp;MH,SL))</f>
        <v>500</v>
      </c>
      <c r="J168" s="744">
        <f t="array" ref="J168">SUM(IF("155"&amp;C168=KHC&amp;MH,TH))</f>
        <v>3297379</v>
      </c>
      <c r="K168" s="725">
        <f t="shared" si="24"/>
        <v>0</v>
      </c>
      <c r="L168" s="725">
        <f t="shared" si="25"/>
        <v>0</v>
      </c>
    </row>
    <row r="169" spans="1:12" s="751" customFormat="1" ht="19.5" customHeight="1">
      <c r="A169" s="453" t="str">
        <f t="shared" si="26"/>
        <v>TP</v>
      </c>
      <c r="B169" s="770">
        <f t="shared" si="27"/>
        <v>145</v>
      </c>
      <c r="C169" s="757" t="s">
        <v>815</v>
      </c>
      <c r="D169" s="772" t="s">
        <v>970</v>
      </c>
      <c r="E169" s="725"/>
      <c r="F169" s="725"/>
      <c r="G169" s="744">
        <f t="array" ref="G169">SUM(IF("155"&amp;C169=KHN&amp;MH,SL))</f>
        <v>2400</v>
      </c>
      <c r="H169" s="744">
        <f t="array" ref="H169">SUM(IF("155"&amp;C169=KHN&amp;MH,TH))</f>
        <v>7715866</v>
      </c>
      <c r="I169" s="744">
        <f t="array" ref="I169">SUM(IF("155"&amp;C169=KHC&amp;MH,SL))</f>
        <v>2400</v>
      </c>
      <c r="J169" s="744">
        <f t="array" ref="J169">SUM(IF("155"&amp;C169=KHC&amp;MH,TH))</f>
        <v>7715866</v>
      </c>
      <c r="K169" s="725">
        <f t="shared" si="24"/>
        <v>0</v>
      </c>
      <c r="L169" s="725">
        <f t="shared" si="25"/>
        <v>0</v>
      </c>
    </row>
    <row r="170" spans="1:12" s="751" customFormat="1" ht="19.5" customHeight="1">
      <c r="A170" s="453" t="str">
        <f t="shared" si="26"/>
        <v>TP</v>
      </c>
      <c r="B170" s="770">
        <f t="shared" si="27"/>
        <v>146</v>
      </c>
      <c r="C170" s="773" t="s">
        <v>931</v>
      </c>
      <c r="D170" s="772" t="s">
        <v>970</v>
      </c>
      <c r="E170" s="725"/>
      <c r="F170" s="725"/>
      <c r="G170" s="744">
        <f t="array" ref="G170">SUM(IF("155"&amp;C170=KHN&amp;MH,SL))</f>
        <v>244</v>
      </c>
      <c r="H170" s="744">
        <f t="array" ref="H170">SUM(IF("155"&amp;C170=KHN&amp;MH,TH))</f>
        <v>148521</v>
      </c>
      <c r="I170" s="744">
        <f t="array" ref="I170">SUM(IF("155"&amp;C170=KHC&amp;MH,SL))</f>
        <v>244</v>
      </c>
      <c r="J170" s="744">
        <f t="array" ref="J170">SUM(IF("155"&amp;C170=KHC&amp;MH,TH))</f>
        <v>148521</v>
      </c>
      <c r="K170" s="725">
        <f t="shared" si="24"/>
        <v>0</v>
      </c>
      <c r="L170" s="725">
        <f t="shared" si="25"/>
        <v>0</v>
      </c>
    </row>
    <row r="171" spans="1:12" s="751" customFormat="1" ht="19.5" customHeight="1">
      <c r="A171" s="453" t="str">
        <f t="shared" si="26"/>
        <v>TP</v>
      </c>
      <c r="B171" s="770">
        <f t="shared" si="27"/>
        <v>147</v>
      </c>
      <c r="C171" s="771" t="s">
        <v>930</v>
      </c>
      <c r="D171" s="772" t="s">
        <v>970</v>
      </c>
      <c r="E171" s="725"/>
      <c r="F171" s="725"/>
      <c r="G171" s="744">
        <f t="array" ref="G171">SUM(IF("155"&amp;C171=KHN&amp;MH,SL))</f>
        <v>244</v>
      </c>
      <c r="H171" s="744">
        <f t="array" ref="H171">SUM(IF("155"&amp;C171=KHN&amp;MH,TH))</f>
        <v>185651</v>
      </c>
      <c r="I171" s="744">
        <f t="array" ref="I171">SUM(IF("155"&amp;C171=KHC&amp;MH,SL))</f>
        <v>244</v>
      </c>
      <c r="J171" s="744">
        <f t="array" ref="J171">SUM(IF("155"&amp;C171=KHC&amp;MH,TH))</f>
        <v>185651</v>
      </c>
      <c r="K171" s="725">
        <f t="shared" si="24"/>
        <v>0</v>
      </c>
      <c r="L171" s="725">
        <f t="shared" si="25"/>
        <v>0</v>
      </c>
    </row>
    <row r="172" spans="1:12" s="751" customFormat="1" ht="19.5" customHeight="1">
      <c r="A172" s="453" t="str">
        <f t="shared" si="26"/>
        <v>TP</v>
      </c>
      <c r="B172" s="770">
        <f t="shared" si="27"/>
        <v>148</v>
      </c>
      <c r="C172" s="771" t="s">
        <v>929</v>
      </c>
      <c r="D172" s="772" t="s">
        <v>970</v>
      </c>
      <c r="E172" s="725"/>
      <c r="F172" s="725"/>
      <c r="G172" s="744">
        <f t="array" ref="G172">SUM(IF("155"&amp;C172=KHN&amp;MH,SL))</f>
        <v>244</v>
      </c>
      <c r="H172" s="744">
        <f t="array" ref="H172">SUM(IF("155"&amp;C172=KHN&amp;MH,TH))</f>
        <v>241346</v>
      </c>
      <c r="I172" s="744">
        <f t="array" ref="I172">SUM(IF("155"&amp;C172=KHC&amp;MH,SL))</f>
        <v>244</v>
      </c>
      <c r="J172" s="744">
        <f t="array" ref="J172">SUM(IF("155"&amp;C172=KHC&amp;MH,TH))</f>
        <v>241346</v>
      </c>
      <c r="K172" s="725">
        <f t="shared" si="24"/>
        <v>0</v>
      </c>
      <c r="L172" s="725">
        <f t="shared" si="25"/>
        <v>0</v>
      </c>
    </row>
    <row r="173" spans="1:12" s="751" customFormat="1" ht="19.5" customHeight="1">
      <c r="A173" s="453" t="str">
        <f t="shared" ref="A173:A179" si="28">IF(B173&lt;&gt;"","TP","")</f>
        <v>TP</v>
      </c>
      <c r="B173" s="770">
        <f t="shared" ref="B173:B179" si="29">IF(C173&lt;&gt;"",B172+1,"")</f>
        <v>149</v>
      </c>
      <c r="C173" s="773" t="s">
        <v>928</v>
      </c>
      <c r="D173" s="772" t="s">
        <v>970</v>
      </c>
      <c r="E173" s="725"/>
      <c r="F173" s="725"/>
      <c r="G173" s="744">
        <f t="array" ref="G173">SUM(IF("155"&amp;C173=KHN&amp;MH,SL))</f>
        <v>244</v>
      </c>
      <c r="H173" s="744">
        <f t="array" ref="H173">SUM(IF("155"&amp;C173=KHN&amp;MH,TH))</f>
        <v>278477</v>
      </c>
      <c r="I173" s="744">
        <f t="array" ref="I173">SUM(IF("155"&amp;C173=KHC&amp;MH,SL))</f>
        <v>244</v>
      </c>
      <c r="J173" s="744">
        <f t="array" ref="J173">SUM(IF("155"&amp;C173=KHC&amp;MH,TH))</f>
        <v>278477</v>
      </c>
      <c r="K173" s="725">
        <f t="shared" si="24"/>
        <v>0</v>
      </c>
      <c r="L173" s="725">
        <f t="shared" si="25"/>
        <v>0</v>
      </c>
    </row>
    <row r="174" spans="1:12" s="751" customFormat="1" ht="19.5" customHeight="1">
      <c r="A174" s="453" t="str">
        <f t="shared" si="28"/>
        <v>TP</v>
      </c>
      <c r="B174" s="770">
        <f t="shared" si="29"/>
        <v>150</v>
      </c>
      <c r="C174" s="774" t="s">
        <v>1083</v>
      </c>
      <c r="D174" s="772" t="s">
        <v>970</v>
      </c>
      <c r="E174" s="725"/>
      <c r="F174" s="725"/>
      <c r="G174" s="744">
        <f t="array" ref="G174">SUM(IF("155"&amp;C174=KHN&amp;MH,SL))</f>
        <v>7250</v>
      </c>
      <c r="H174" s="744">
        <f t="array" ref="H174">SUM(IF("155"&amp;C174=KHN&amp;MH,TH))</f>
        <v>15445566</v>
      </c>
      <c r="I174" s="744">
        <f t="array" ref="I174">SUM(IF("155"&amp;C174=KHC&amp;MH,SL))</f>
        <v>7250</v>
      </c>
      <c r="J174" s="744">
        <f t="array" ref="J174">SUM(IF("155"&amp;C174=KHC&amp;MH,TH))</f>
        <v>15445566</v>
      </c>
      <c r="K174" s="725">
        <f t="shared" si="24"/>
        <v>0</v>
      </c>
      <c r="L174" s="725">
        <f t="shared" si="25"/>
        <v>0</v>
      </c>
    </row>
    <row r="175" spans="1:12" s="751" customFormat="1" ht="19.5" customHeight="1">
      <c r="A175" s="453" t="str">
        <f t="shared" si="28"/>
        <v>TP</v>
      </c>
      <c r="B175" s="770">
        <f t="shared" si="29"/>
        <v>151</v>
      </c>
      <c r="C175" s="774" t="s">
        <v>1084</v>
      </c>
      <c r="D175" s="772" t="s">
        <v>970</v>
      </c>
      <c r="E175" s="725"/>
      <c r="F175" s="725"/>
      <c r="G175" s="744">
        <f t="array" ref="G175">SUM(IF("155"&amp;C175=KHN&amp;MH,SL))</f>
        <v>9730</v>
      </c>
      <c r="H175" s="744">
        <f t="array" ref="H175">SUM(IF("155"&amp;C175=KHN&amp;MH,TH))</f>
        <v>16287083</v>
      </c>
      <c r="I175" s="744">
        <f t="array" ref="I175">SUM(IF("155"&amp;C175=KHC&amp;MH,SL))</f>
        <v>9730</v>
      </c>
      <c r="J175" s="744">
        <f t="array" ref="J175">SUM(IF("155"&amp;C175=KHC&amp;MH,TH))</f>
        <v>16287083</v>
      </c>
      <c r="K175" s="725">
        <f t="shared" si="24"/>
        <v>0</v>
      </c>
      <c r="L175" s="725">
        <f t="shared" si="25"/>
        <v>0</v>
      </c>
    </row>
    <row r="176" spans="1:12" s="751" customFormat="1" ht="19.5" customHeight="1">
      <c r="A176" s="453" t="str">
        <f t="shared" si="28"/>
        <v>TP</v>
      </c>
      <c r="B176" s="770">
        <f t="shared" si="29"/>
        <v>152</v>
      </c>
      <c r="C176" s="774" t="s">
        <v>1085</v>
      </c>
      <c r="D176" s="772" t="s">
        <v>970</v>
      </c>
      <c r="E176" s="725"/>
      <c r="F176" s="725"/>
      <c r="G176" s="744">
        <f t="array" ref="G176">SUM(IF("155"&amp;C176=KHN&amp;MH,SL))</f>
        <v>375</v>
      </c>
      <c r="H176" s="744">
        <f t="array" ref="H176">SUM(IF("155"&amp;C176=KHN&amp;MH,TH))</f>
        <v>142662</v>
      </c>
      <c r="I176" s="744">
        <f t="array" ref="I176">SUM(IF("155"&amp;C176=KHC&amp;MH,SL))</f>
        <v>375</v>
      </c>
      <c r="J176" s="744">
        <f t="array" ref="J176">SUM(IF("155"&amp;C176=KHC&amp;MH,TH))</f>
        <v>142662</v>
      </c>
      <c r="K176" s="725">
        <f t="shared" si="24"/>
        <v>0</v>
      </c>
      <c r="L176" s="725">
        <f t="shared" si="25"/>
        <v>0</v>
      </c>
    </row>
    <row r="177" spans="1:12" s="751" customFormat="1" ht="19.5" customHeight="1">
      <c r="A177" s="453" t="str">
        <f t="shared" si="28"/>
        <v>TP</v>
      </c>
      <c r="B177" s="770">
        <f t="shared" si="29"/>
        <v>153</v>
      </c>
      <c r="C177" s="774" t="s">
        <v>1086</v>
      </c>
      <c r="D177" s="772" t="s">
        <v>970</v>
      </c>
      <c r="E177" s="725"/>
      <c r="F177" s="725"/>
      <c r="G177" s="744">
        <f t="array" ref="G177">SUM(IF("155"&amp;C177=KHN&amp;MH,SL))</f>
        <v>500</v>
      </c>
      <c r="H177" s="744">
        <f t="array" ref="H177">SUM(IF("155"&amp;C177=KHN&amp;MH,TH))</f>
        <v>10956460</v>
      </c>
      <c r="I177" s="744">
        <f t="array" ref="I177">SUM(IF("155"&amp;C177=KHC&amp;MH,SL))</f>
        <v>500</v>
      </c>
      <c r="J177" s="744">
        <f t="array" ref="J177">SUM(IF("155"&amp;C177=KHC&amp;MH,TH))</f>
        <v>10956460</v>
      </c>
      <c r="K177" s="725">
        <f t="shared" si="24"/>
        <v>0</v>
      </c>
      <c r="L177" s="725">
        <f t="shared" si="25"/>
        <v>0</v>
      </c>
    </row>
    <row r="178" spans="1:12" s="751" customFormat="1" ht="19.5" customHeight="1">
      <c r="A178" s="453" t="str">
        <f t="shared" si="28"/>
        <v>TP</v>
      </c>
      <c r="B178" s="770">
        <f t="shared" si="29"/>
        <v>154</v>
      </c>
      <c r="C178" s="774" t="s">
        <v>1087</v>
      </c>
      <c r="D178" s="772" t="s">
        <v>970</v>
      </c>
      <c r="E178" s="725"/>
      <c r="F178" s="725"/>
      <c r="G178" s="744">
        <f t="array" ref="G178">SUM(IF("155"&amp;C178=KHN&amp;MH,SL))</f>
        <v>2375</v>
      </c>
      <c r="H178" s="744">
        <f t="array" ref="H178">SUM(IF("155"&amp;C178=KHN&amp;MH,TH))</f>
        <v>2891288</v>
      </c>
      <c r="I178" s="744">
        <f t="array" ref="I178">SUM(IF("155"&amp;C178=KHC&amp;MH,SL))</f>
        <v>2375</v>
      </c>
      <c r="J178" s="744">
        <f t="array" ref="J178">SUM(IF("155"&amp;C178=KHC&amp;MH,TH))</f>
        <v>2891288</v>
      </c>
      <c r="K178" s="725">
        <f t="shared" si="24"/>
        <v>0</v>
      </c>
      <c r="L178" s="725">
        <f t="shared" si="25"/>
        <v>0</v>
      </c>
    </row>
    <row r="179" spans="1:12" s="751" customFormat="1" ht="19.5" customHeight="1">
      <c r="A179" s="453" t="str">
        <f t="shared" si="28"/>
        <v>TP</v>
      </c>
      <c r="B179" s="770">
        <f t="shared" si="29"/>
        <v>155</v>
      </c>
      <c r="C179" s="774" t="s">
        <v>1088</v>
      </c>
      <c r="D179" s="772" t="s">
        <v>970</v>
      </c>
      <c r="E179" s="725"/>
      <c r="F179" s="725"/>
      <c r="G179" s="744">
        <f t="array" ref="G179">SUM(IF("155"&amp;C179=KHN&amp;MH,SL))</f>
        <v>200</v>
      </c>
      <c r="H179" s="744">
        <f t="array" ref="H179">SUM(IF("155"&amp;C179=KHN&amp;MH,TH))</f>
        <v>547823</v>
      </c>
      <c r="I179" s="744">
        <f t="array" ref="I179">SUM(IF("155"&amp;C179=KHC&amp;MH,SL))</f>
        <v>200</v>
      </c>
      <c r="J179" s="744">
        <f t="array" ref="J179">SUM(IF("155"&amp;C179=KHC&amp;MH,TH))</f>
        <v>547823</v>
      </c>
      <c r="K179" s="725">
        <f t="shared" ref="K179:K180" si="30">E179+G179-I179</f>
        <v>0</v>
      </c>
      <c r="L179" s="725">
        <f t="shared" ref="L179:L180" si="31">F179+H179-J179</f>
        <v>0</v>
      </c>
    </row>
    <row r="180" spans="1:12" s="751" customFormat="1" ht="19.5" customHeight="1">
      <c r="A180" s="453" t="str">
        <f t="shared" ref="A180" si="32">IF(B180&lt;&gt;"","TP","")</f>
        <v>TP</v>
      </c>
      <c r="B180" s="770">
        <f t="shared" ref="B180" si="33">IF(C180&lt;&gt;"",B179+1,"")</f>
        <v>156</v>
      </c>
      <c r="C180" s="774" t="s">
        <v>1089</v>
      </c>
      <c r="D180" s="772" t="s">
        <v>970</v>
      </c>
      <c r="E180" s="725"/>
      <c r="F180" s="725"/>
      <c r="G180" s="744">
        <f t="array" ref="G180">SUM(IF("155"&amp;C180=KHN&amp;MH,SL))</f>
        <v>2000</v>
      </c>
      <c r="H180" s="744">
        <f t="array" ref="H180">SUM(IF("155"&amp;C180=KHN&amp;MH,TH))</f>
        <v>2130423</v>
      </c>
      <c r="I180" s="744">
        <f t="array" ref="I180">SUM(IF("155"&amp;C180=KHC&amp;MH,SL))</f>
        <v>2000</v>
      </c>
      <c r="J180" s="744">
        <f t="array" ref="J180">SUM(IF("155"&amp;C180=KHC&amp;MH,TH))</f>
        <v>2130423</v>
      </c>
      <c r="K180" s="725">
        <f t="shared" si="30"/>
        <v>0</v>
      </c>
      <c r="L180" s="725">
        <f t="shared" si="31"/>
        <v>0</v>
      </c>
    </row>
    <row r="181" spans="1:12" s="751" customFormat="1" ht="18.75" customHeight="1">
      <c r="A181" s="453"/>
      <c r="B181" s="770"/>
      <c r="C181" s="773"/>
      <c r="D181" s="772"/>
      <c r="E181" s="725"/>
      <c r="F181" s="725"/>
      <c r="G181" s="744"/>
      <c r="H181" s="744"/>
      <c r="I181" s="744"/>
      <c r="J181" s="744"/>
      <c r="K181" s="725"/>
      <c r="L181" s="725"/>
    </row>
    <row r="182" spans="1:12" s="751" customFormat="1" ht="19.5" customHeight="1">
      <c r="A182" s="453" t="str">
        <f t="shared" ref="A182" si="34">IF(B182&lt;&gt;"","TP","")</f>
        <v/>
      </c>
      <c r="B182" s="755"/>
      <c r="C182" s="762" t="s">
        <v>192</v>
      </c>
      <c r="D182" s="755"/>
      <c r="E182" s="733">
        <f t="shared" ref="E182:L182" si="35">SUM(E25:E181)</f>
        <v>0</v>
      </c>
      <c r="F182" s="733">
        <f t="shared" si="35"/>
        <v>0</v>
      </c>
      <c r="G182" s="733">
        <f t="shared" si="35"/>
        <v>219419</v>
      </c>
      <c r="H182" s="733">
        <f t="shared" si="35"/>
        <v>1444698200</v>
      </c>
      <c r="I182" s="733">
        <f t="shared" si="35"/>
        <v>219419</v>
      </c>
      <c r="J182" s="733">
        <f t="shared" si="35"/>
        <v>1444698200</v>
      </c>
      <c r="K182" s="733">
        <f t="shared" si="35"/>
        <v>0</v>
      </c>
      <c r="L182" s="733">
        <f t="shared" si="35"/>
        <v>0</v>
      </c>
    </row>
    <row r="183" spans="1:12" s="751" customFormat="1" ht="18.75" customHeight="1">
      <c r="A183" s="453"/>
      <c r="B183" s="764"/>
      <c r="C183" s="764"/>
      <c r="D183" s="763"/>
      <c r="E183" s="765"/>
      <c r="F183" s="765">
        <f>F182-CDPS!C23</f>
        <v>0</v>
      </c>
      <c r="G183" s="765"/>
      <c r="H183" s="765">
        <f>H182-CDPS!E23</f>
        <v>0</v>
      </c>
      <c r="I183" s="765"/>
      <c r="J183" s="765">
        <f>J182-CDPS!F23</f>
        <v>0</v>
      </c>
      <c r="K183" s="765"/>
      <c r="L183" s="765">
        <f>L182-CDPS!H23</f>
        <v>0</v>
      </c>
    </row>
    <row r="184" spans="1:12" s="751" customFormat="1" ht="18.75" customHeight="1">
      <c r="D184" s="754"/>
      <c r="E184" s="775"/>
      <c r="F184" s="775"/>
      <c r="G184" s="453"/>
      <c r="H184" s="453"/>
      <c r="I184" s="453"/>
      <c r="J184" s="453"/>
      <c r="K184" s="453"/>
      <c r="L184" s="453"/>
    </row>
    <row r="185" spans="1:12" s="751" customFormat="1" ht="19.5" customHeight="1">
      <c r="D185" s="754"/>
      <c r="E185" s="775"/>
      <c r="F185" s="775"/>
      <c r="G185" s="453"/>
      <c r="H185" s="453"/>
      <c r="I185" s="453"/>
      <c r="J185" s="453"/>
      <c r="K185" s="453"/>
      <c r="L185" s="453"/>
    </row>
    <row r="186" spans="1:12" s="751" customFormat="1" ht="19.5" customHeight="1">
      <c r="C186" s="869"/>
      <c r="D186" s="869"/>
      <c r="E186" s="869"/>
      <c r="F186" s="164"/>
      <c r="G186" s="164"/>
      <c r="H186" s="164"/>
      <c r="I186" s="164"/>
      <c r="J186" s="869" t="str">
        <f>"Ngày 31 tháng  12  năm  "&amp;YEAR(TH!$C$10)</f>
        <v>Ngày 31 tháng  12  năm  2016</v>
      </c>
      <c r="K186" s="869"/>
      <c r="L186" s="869"/>
    </row>
    <row r="187" spans="1:12" s="751" customFormat="1" ht="19.5" customHeight="1">
      <c r="C187" s="368"/>
      <c r="D187" s="368"/>
      <c r="E187" s="368"/>
      <c r="F187" s="869"/>
      <c r="G187" s="869"/>
      <c r="H187" s="869"/>
      <c r="I187" s="164"/>
      <c r="J187" s="869" t="s">
        <v>104</v>
      </c>
      <c r="K187" s="869"/>
      <c r="L187" s="869"/>
    </row>
    <row r="188" spans="1:12" s="751" customFormat="1" ht="19.5" customHeight="1">
      <c r="C188" s="368"/>
      <c r="D188" s="368"/>
      <c r="E188" s="368"/>
      <c r="F188" s="869"/>
      <c r="G188" s="869"/>
      <c r="H188" s="869"/>
      <c r="J188" s="869" t="s">
        <v>131</v>
      </c>
      <c r="K188" s="869"/>
      <c r="L188" s="869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419" customFormat="1" ht="12" customHeight="1">
      <c r="A2" s="418" t="str">
        <f>TH!A1</f>
        <v>Đơn vị: CÔNG TY TNHH BAO BÌ GIẤY KIM DUNG PHÁT</v>
      </c>
      <c r="G2" s="420" t="str">
        <f>+IF(LEFT($D$7,1)="N","Mẫu số 01 - VT","Mẫu số 02 - VT")</f>
        <v>Mẫu số 02 - VT</v>
      </c>
    </row>
    <row r="3" spans="1:17" s="419" customFormat="1" ht="12" customHeight="1">
      <c r="A3" s="421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0" t="s">
        <v>99</v>
      </c>
      <c r="O3" s="422"/>
      <c r="P3" s="423">
        <f>IF(J5="Quý I",1,IF(J5="Quý II",4,IF(J5="Quý III",7,IF(J5="Quý IV",10,""))))</f>
        <v>10</v>
      </c>
      <c r="Q3" s="423">
        <f>IF(J5="Quý I",3,IF(J5="Quý II",6,IF(J5="Quý III",9,IF(J5="Quý IV",12,""))))</f>
        <v>12</v>
      </c>
    </row>
    <row r="4" spans="1:17" s="419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24"/>
      <c r="M4" s="425"/>
      <c r="N4" s="420" t="s">
        <v>100</v>
      </c>
      <c r="O4" s="422"/>
    </row>
    <row r="5" spans="1:17" ht="18" customHeight="1" thickBot="1">
      <c r="D5" s="169" t="str">
        <f>+IF(LEFT($L$5,1)="N","PHIẾU NHẬP KHO","PHIẾU XUẤT KHO")</f>
        <v>PHIẾU XUẤT KHO</v>
      </c>
      <c r="J5" s="415" t="s">
        <v>359</v>
      </c>
      <c r="K5" s="170"/>
      <c r="L5" s="416" t="s">
        <v>1090</v>
      </c>
      <c r="M5" s="171"/>
      <c r="N5" s="417">
        <v>73</v>
      </c>
      <c r="O5" s="166"/>
      <c r="P5" s="166"/>
    </row>
    <row r="6" spans="1:17" ht="10.5" customHeight="1">
      <c r="D6" s="427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28"/>
      <c r="M6" s="168"/>
      <c r="O6" s="166"/>
    </row>
    <row r="7" spans="1:17" ht="10.5" customHeight="1">
      <c r="C7" s="429" t="str">
        <f xml:space="preserve"> "Số:"</f>
        <v>Số:</v>
      </c>
      <c r="D7" s="430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31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04" t="s">
        <v>34</v>
      </c>
      <c r="B14" s="904" t="s">
        <v>193</v>
      </c>
      <c r="C14" s="904" t="s">
        <v>194</v>
      </c>
      <c r="D14" s="904" t="s">
        <v>185</v>
      </c>
      <c r="E14" s="906" t="s">
        <v>195</v>
      </c>
      <c r="F14" s="906"/>
      <c r="G14" s="904" t="s">
        <v>196</v>
      </c>
      <c r="H14" s="904" t="s">
        <v>197</v>
      </c>
    </row>
    <row r="15" spans="1:17" ht="12.75" customHeight="1">
      <c r="A15" s="905"/>
      <c r="B15" s="905"/>
      <c r="C15" s="905"/>
      <c r="D15" s="905"/>
      <c r="E15" s="432" t="s">
        <v>198</v>
      </c>
      <c r="F15" s="432" t="str">
        <f>IF(LEFT($D$7,1)="N","Thực nhập","Thực xuất")</f>
        <v>Thực xuất</v>
      </c>
      <c r="G15" s="905"/>
      <c r="H15" s="905"/>
    </row>
    <row r="16" spans="1:17" s="38" customFormat="1" ht="8.25" customHeight="1">
      <c r="A16" s="433" t="s">
        <v>2</v>
      </c>
      <c r="B16" s="433" t="s">
        <v>3</v>
      </c>
      <c r="C16" s="433" t="s">
        <v>4</v>
      </c>
      <c r="D16" s="433" t="s">
        <v>5</v>
      </c>
      <c r="E16" s="433">
        <v>1</v>
      </c>
      <c r="F16" s="433">
        <v>2</v>
      </c>
      <c r="G16" s="433">
        <v>3</v>
      </c>
      <c r="H16" s="433">
        <v>4</v>
      </c>
    </row>
    <row r="17" spans="1:8" ht="11.25" customHeight="1">
      <c r="A17" s="434">
        <f ca="1">IF(B17="","",ROW()-16)</f>
        <v>1</v>
      </c>
      <c r="B17" s="435" t="str">
        <f ca="1">IF(ROWS($1:1)&gt;COUNT(Dong10),"",OFFSET(TH!F$1,SMALL(Dong10,ROWS($1:1)),))</f>
        <v>Thùng carton (45x37x27.5)</v>
      </c>
      <c r="C17" s="436"/>
      <c r="D17" s="437" t="str">
        <f ca="1">IF(ISNA(VLOOKUP(B17,NXT!$C$9:$D$181,2,0)),"",VLOOKUP(B17,NXT!$C$9:$D$181,2,0))</f>
        <v>cái</v>
      </c>
      <c r="E17" s="438"/>
      <c r="F17" s="439">
        <f ca="1">IF(ROWS($1:1)&gt;COUNT(Dong10),"",OFFSET(TH!I$1,SMALL(Dong10,ROWS($1:1)),))</f>
        <v>1808</v>
      </c>
      <c r="G17" s="439">
        <f ca="1">IF(ROWS($1:1)&gt;COUNT(Dong10),"",OFFSET(TH!J$1,SMALL(Dong10,ROWS($1:1)),))</f>
        <v>13800</v>
      </c>
      <c r="H17" s="438">
        <f ca="1">IF(F17&lt;&gt;"",ROUND(F17*G17,0),0)</f>
        <v>24950400</v>
      </c>
    </row>
    <row r="18" spans="1:8" ht="11.25" customHeight="1">
      <c r="A18" s="434">
        <f t="shared" ref="A18:A20" ca="1" si="0">IF(B18="","",A17+1)</f>
        <v>2</v>
      </c>
      <c r="B18" s="435" t="str">
        <f ca="1">IF(ROWS($1:2)&gt;COUNT(Dong10),"",OFFSET(TH!F$1,SMALL(Dong10,ROWS($1:2)),))</f>
        <v>Tấm lót (44x20)</v>
      </c>
      <c r="C18" s="436"/>
      <c r="D18" s="437" t="str">
        <f ca="1">IF(ISNA(VLOOKUP(B18,NXT!$C$9:$D$181,2,0)),"",VLOOKUP(B18,NXT!$C$9:$D$181,2,0))</f>
        <v>tấm</v>
      </c>
      <c r="E18" s="438"/>
      <c r="F18" s="439">
        <f ca="1">IF(ROWS($1:2)&gt;COUNT(Dong10),"",OFFSET(TH!I$1,SMALL(Dong10,ROWS($1:2)),))</f>
        <v>3616</v>
      </c>
      <c r="G18" s="439">
        <f ca="1">IF(ROWS($1:2)&gt;COUNT(Dong10),"",OFFSET(TH!J$1,SMALL(Dong10,ROWS($1:2)),))</f>
        <v>1300</v>
      </c>
      <c r="H18" s="438">
        <f t="shared" ref="H18:H24" ca="1" si="1">IF(F18&lt;&gt;"",ROUND(F18*G18,0),0)</f>
        <v>4700800</v>
      </c>
    </row>
    <row r="19" spans="1:8" ht="11.25" customHeight="1">
      <c r="A19" s="434" t="str">
        <f t="shared" ca="1" si="0"/>
        <v/>
      </c>
      <c r="B19" s="435" t="str">
        <f ca="1">IF(ROWS($1:3)&gt;COUNT(Dong10),"",OFFSET(TH!F$1,SMALL(Dong10,ROWS($1:3)),))</f>
        <v/>
      </c>
      <c r="C19" s="436"/>
      <c r="D19" s="437" t="str">
        <f ca="1">IF(ISNA(VLOOKUP(B19,NXT!$C$9:$D$181,2,0)),"",VLOOKUP(B19,NXT!$C$9:$D$181,2,0))</f>
        <v/>
      </c>
      <c r="E19" s="438"/>
      <c r="F19" s="439" t="str">
        <f ca="1">IF(ROWS($1:3)&gt;COUNT(Dong10),"",OFFSET(TH!I$1,SMALL(Dong10,ROWS($1:3)),))</f>
        <v/>
      </c>
      <c r="G19" s="439" t="str">
        <f ca="1">IF(ROWS($1:3)&gt;COUNT(Dong10),"",OFFSET(TH!J$1,SMALL(Dong10,ROWS($1:3)),))</f>
        <v/>
      </c>
      <c r="H19" s="438">
        <f t="shared" ca="1" si="1"/>
        <v>0</v>
      </c>
    </row>
    <row r="20" spans="1:8" ht="11.25" customHeight="1">
      <c r="A20" s="434" t="str">
        <f t="shared" ca="1" si="0"/>
        <v/>
      </c>
      <c r="B20" s="435" t="str">
        <f ca="1">IF(ROWS($1:4)&gt;COUNT(Dong10),"",OFFSET(TH!F$1,SMALL(Dong10,ROWS($1:4)),))</f>
        <v/>
      </c>
      <c r="C20" s="436"/>
      <c r="D20" s="437" t="str">
        <f ca="1">IF(ISNA(VLOOKUP(B20,NXT!$C$9:$D$181,2,0)),"",VLOOKUP(B20,NXT!$C$9:$D$181,2,0))</f>
        <v/>
      </c>
      <c r="E20" s="438"/>
      <c r="F20" s="439" t="str">
        <f ca="1">IF(ROWS($1:4)&gt;COUNT(Dong10),"",OFFSET(TH!I$1,SMALL(Dong10,ROWS($1:4)),))</f>
        <v/>
      </c>
      <c r="G20" s="439" t="str">
        <f ca="1">IF(ROWS($1:4)&gt;COUNT(Dong10),"",OFFSET(TH!J$1,SMALL(Dong10,ROWS($1:4)),))</f>
        <v/>
      </c>
      <c r="H20" s="438">
        <f t="shared" ca="1" si="1"/>
        <v>0</v>
      </c>
    </row>
    <row r="21" spans="1:8" ht="11.25" customHeight="1">
      <c r="A21" s="434" t="str">
        <f t="shared" ref="A21:A23" ca="1" si="2">IF(B21="","",A20+1)</f>
        <v/>
      </c>
      <c r="B21" s="435" t="str">
        <f ca="1">IF(ROWS($1:5)&gt;COUNT(Dong10),"",OFFSET(TH!F$1,SMALL(Dong10,ROWS($1:5)),))</f>
        <v/>
      </c>
      <c r="C21" s="436"/>
      <c r="D21" s="437" t="str">
        <f ca="1">IF(ISNA(VLOOKUP(B21,NXT!$C$9:$D$181,2,0)),"",VLOOKUP(B21,NXT!$C$9:$D$181,2,0))</f>
        <v/>
      </c>
      <c r="E21" s="438"/>
      <c r="F21" s="439" t="str">
        <f ca="1">IF(ROWS($1:5)&gt;COUNT(Dong10),"",OFFSET(TH!I$1,SMALL(Dong10,ROWS($1:5)),))</f>
        <v/>
      </c>
      <c r="G21" s="439" t="str">
        <f ca="1">IF(ROWS($1:5)&gt;COUNT(Dong10),"",OFFSET(TH!J$1,SMALL(Dong10,ROWS($1:5)),))</f>
        <v/>
      </c>
      <c r="H21" s="438">
        <f t="shared" ca="1" si="1"/>
        <v>0</v>
      </c>
    </row>
    <row r="22" spans="1:8" ht="11.25" customHeight="1">
      <c r="A22" s="434" t="str">
        <f t="shared" ca="1" si="2"/>
        <v/>
      </c>
      <c r="B22" s="435" t="str">
        <f ca="1">IF(ROWS($1:6)&gt;COUNT(Dong10),"",OFFSET(TH!F$1,SMALL(Dong10,ROWS($1:6)),))</f>
        <v/>
      </c>
      <c r="C22" s="436"/>
      <c r="D22" s="437" t="str">
        <f ca="1">IF(ISNA(VLOOKUP(B22,NXT!$C$9:$D$181,2,0)),"",VLOOKUP(B22,NXT!$C$9:$D$181,2,0))</f>
        <v/>
      </c>
      <c r="E22" s="438"/>
      <c r="F22" s="439" t="str">
        <f ca="1">IF(ROWS($1:6)&gt;COUNT(Dong10),"",OFFSET(TH!I$1,SMALL(Dong10,ROWS($1:6)),))</f>
        <v/>
      </c>
      <c r="G22" s="439" t="str">
        <f ca="1">IF(ROWS($1:6)&gt;COUNT(Dong10),"",OFFSET(TH!J$1,SMALL(Dong10,ROWS($1:6)),))</f>
        <v/>
      </c>
      <c r="H22" s="438">
        <f t="shared" ca="1" si="1"/>
        <v>0</v>
      </c>
    </row>
    <row r="23" spans="1:8" ht="11.25" customHeight="1">
      <c r="A23" s="434" t="str">
        <f t="shared" ca="1" si="2"/>
        <v/>
      </c>
      <c r="B23" s="435" t="str">
        <f ca="1">IF(ROWS($1:7)&gt;COUNT(Dong10),"",OFFSET(TH!F$1,SMALL(Dong10,ROWS($1:7)),))</f>
        <v/>
      </c>
      <c r="C23" s="436"/>
      <c r="D23" s="437" t="str">
        <f ca="1">IF(ISNA(VLOOKUP(B23,NXT!$C$9:$D$181,2,0)),"",VLOOKUP(B23,NXT!$C$9:$D$181,2,0))</f>
        <v/>
      </c>
      <c r="E23" s="438"/>
      <c r="F23" s="439" t="str">
        <f ca="1">IF(ROWS($1:7)&gt;COUNT(Dong10),"",OFFSET(TH!I$1,SMALL(Dong10,ROWS($1:7)),))</f>
        <v/>
      </c>
      <c r="G23" s="439" t="str">
        <f ca="1">IF(ROWS($1:7)&gt;COUNT(Dong10),"",OFFSET(TH!J$1,SMALL(Dong10,ROWS($1:7)),))</f>
        <v/>
      </c>
      <c r="H23" s="438">
        <f t="shared" ca="1" si="1"/>
        <v>0</v>
      </c>
    </row>
    <row r="24" spans="1:8" ht="11.25" customHeight="1">
      <c r="A24" s="434" t="str">
        <f t="shared" ref="A24" ca="1" si="3">IF(B24="","",A23+1)</f>
        <v/>
      </c>
      <c r="B24" s="435" t="str">
        <f ca="1">IF(ROWS($1:8)&gt;COUNT(Dong10),"",OFFSET(TH!F$1,SMALL(Dong10,ROWS($1:8)),))</f>
        <v/>
      </c>
      <c r="C24" s="436"/>
      <c r="D24" s="437" t="str">
        <f ca="1">IF(ISNA(VLOOKUP(B24,NXT!$C$9:$D$181,2,0)),"",VLOOKUP(B24,NXT!$C$9:$D$181,2,0))</f>
        <v/>
      </c>
      <c r="E24" s="438"/>
      <c r="F24" s="439" t="str">
        <f ca="1">IF(ROWS($1:8)&gt;COUNT(Dong10),"",OFFSET(TH!I$1,SMALL(Dong10,ROWS($1:8)),))</f>
        <v/>
      </c>
      <c r="G24" s="439" t="str">
        <f ca="1">IF(ROWS($1:8)&gt;COUNT(Dong10),"",OFFSET(TH!J$1,SMALL(Dong10,ROWS($1:8)),))</f>
        <v/>
      </c>
      <c r="H24" s="438">
        <f t="shared" ca="1" si="1"/>
        <v>0</v>
      </c>
    </row>
    <row r="25" spans="1:8" ht="11.25" customHeight="1">
      <c r="A25" s="434" t="str">
        <f t="shared" ref="A25" ca="1" si="4">IF(B25="","",A24+1)</f>
        <v/>
      </c>
      <c r="B25" s="435" t="str">
        <f ca="1">IF(ROWS($1:9)&gt;COUNT(Dong10),"",OFFSET(TH!F$1,SMALL(Dong10,ROWS($1:9)),))</f>
        <v/>
      </c>
      <c r="C25" s="436"/>
      <c r="D25" s="437" t="str">
        <f ca="1">IF(ISNA(VLOOKUP(B25,NXT!$C$9:$D$181,2,0)),"",VLOOKUP(B25,NXT!$C$9:$D$181,2,0))</f>
        <v/>
      </c>
      <c r="E25" s="438"/>
      <c r="F25" s="439" t="str">
        <f ca="1">IF(ROWS($1:9)&gt;COUNT(Dong10),"",OFFSET(TH!I$1,SMALL(Dong10,ROWS($1:9)),))</f>
        <v/>
      </c>
      <c r="G25" s="439" t="str">
        <f ca="1">IF(ROWS($1:9)&gt;COUNT(Dong10),"",OFFSET(TH!J$1,SMALL(Dong10,ROWS($1:9)),))</f>
        <v/>
      </c>
      <c r="H25" s="438">
        <f t="shared" ref="H25" ca="1" si="5">IF(F25&lt;&gt;"",ROUND(F25*G25,0),0)</f>
        <v>0</v>
      </c>
    </row>
    <row r="26" spans="1:8" ht="11.25" customHeight="1">
      <c r="A26" s="434"/>
      <c r="B26" s="435"/>
      <c r="C26" s="436"/>
      <c r="D26" s="437"/>
      <c r="E26" s="438"/>
      <c r="F26" s="439"/>
      <c r="G26" s="440"/>
      <c r="H26" s="438"/>
    </row>
    <row r="27" spans="1:8" ht="11.25" customHeight="1">
      <c r="A27" s="906" t="s">
        <v>199</v>
      </c>
      <c r="B27" s="906"/>
      <c r="C27" s="441"/>
      <c r="D27" s="441"/>
      <c r="E27" s="442"/>
      <c r="F27" s="442"/>
      <c r="G27" s="442"/>
      <c r="H27" s="442">
        <f ca="1">SUM(H17:H26)</f>
        <v>29651200</v>
      </c>
    </row>
    <row r="28" spans="1:8" ht="3" customHeight="1">
      <c r="A28" s="443"/>
      <c r="B28" s="443"/>
      <c r="C28" s="168"/>
      <c r="D28" s="168"/>
      <c r="E28" s="444"/>
      <c r="F28" s="444"/>
      <c r="G28" s="444"/>
      <c r="H28" s="444"/>
    </row>
    <row r="29" spans="1:8" ht="11.25" customHeight="1">
      <c r="A29" s="165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45" t="s">
        <v>200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0" t="s">
        <v>201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0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26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202</v>
      </c>
      <c r="O1" s="176"/>
    </row>
    <row r="2" spans="1:17" s="293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913" t="s">
        <v>203</v>
      </c>
      <c r="K2" s="913"/>
      <c r="L2" s="913"/>
      <c r="M2" s="913"/>
      <c r="N2" s="644"/>
    </row>
    <row r="3" spans="1:17" s="293" customFormat="1" ht="16.5" customHeight="1">
      <c r="B3" s="405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914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14"/>
      <c r="L3" s="914"/>
      <c r="M3" s="914"/>
      <c r="N3" s="645"/>
    </row>
    <row r="4" spans="1:17" s="293" customFormat="1" ht="16.5" customHeight="1">
      <c r="B4" s="177"/>
      <c r="C4" s="177"/>
      <c r="D4" s="177"/>
      <c r="E4" s="181"/>
      <c r="F4" s="177"/>
      <c r="J4" s="914"/>
      <c r="K4" s="914"/>
      <c r="L4" s="914"/>
      <c r="M4" s="914"/>
      <c r="N4" s="645"/>
    </row>
    <row r="5" spans="1:17" s="175" customFormat="1" ht="36.75" customHeight="1">
      <c r="B5" s="915" t="s">
        <v>204</v>
      </c>
      <c r="C5" s="915"/>
      <c r="D5" s="915"/>
      <c r="E5" s="915"/>
      <c r="F5" s="915"/>
      <c r="G5" s="915"/>
      <c r="H5" s="915"/>
      <c r="I5" s="915"/>
      <c r="J5" s="915"/>
      <c r="K5" s="915"/>
      <c r="L5" s="915"/>
      <c r="M5" s="915"/>
      <c r="N5" s="182"/>
    </row>
    <row r="6" spans="1:17" s="175" customFormat="1" ht="15">
      <c r="B6" s="907" t="str">
        <f>"Năm: "&amp; YEAR(TH!$C$12)</f>
        <v>Năm: 2016</v>
      </c>
      <c r="C6" s="907"/>
      <c r="D6" s="907"/>
      <c r="E6" s="907"/>
      <c r="F6" s="907"/>
      <c r="G6" s="907"/>
      <c r="H6" s="907"/>
      <c r="I6" s="907"/>
      <c r="J6" s="907"/>
      <c r="K6" s="907"/>
      <c r="L6" s="907"/>
      <c r="M6" s="907"/>
      <c r="N6" s="647"/>
    </row>
    <row r="7" spans="1:17" s="175" customFormat="1" ht="15">
      <c r="C7" s="183"/>
      <c r="D7" s="183"/>
      <c r="E7" s="647"/>
      <c r="F7" s="184" t="s">
        <v>266</v>
      </c>
      <c r="G7" s="647" t="str">
        <f>IF($O$10="VL","1522",IF($O$10="NL","1521",IF($O$10="TP","155","")))</f>
        <v>1521</v>
      </c>
      <c r="H7" s="184" t="s">
        <v>206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47"/>
    </row>
    <row r="8" spans="1:17" s="175" customFormat="1" ht="15">
      <c r="B8" s="647"/>
      <c r="C8" s="183"/>
      <c r="D8" s="183"/>
      <c r="E8" s="647"/>
      <c r="F8" s="647" t="s">
        <v>207</v>
      </c>
      <c r="H8" s="183"/>
      <c r="I8" s="183"/>
      <c r="J8" s="916" t="s">
        <v>781</v>
      </c>
      <c r="K8" s="916"/>
      <c r="L8" s="916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911" t="s">
        <v>34</v>
      </c>
      <c r="B10" s="912" t="s">
        <v>1</v>
      </c>
      <c r="C10" s="912"/>
      <c r="D10" s="910" t="s">
        <v>0</v>
      </c>
      <c r="E10" s="910" t="s">
        <v>208</v>
      </c>
      <c r="F10" s="910" t="s">
        <v>196</v>
      </c>
      <c r="G10" s="908" t="s">
        <v>209</v>
      </c>
      <c r="H10" s="909"/>
      <c r="I10" s="908" t="s">
        <v>210</v>
      </c>
      <c r="J10" s="909"/>
      <c r="K10" s="908" t="s">
        <v>211</v>
      </c>
      <c r="L10" s="909"/>
      <c r="M10" s="910" t="s">
        <v>122</v>
      </c>
      <c r="N10" s="189"/>
      <c r="O10" s="190" t="s">
        <v>202</v>
      </c>
    </row>
    <row r="11" spans="1:17" s="175" customFormat="1" ht="47.25" customHeight="1">
      <c r="A11" s="911"/>
      <c r="B11" s="191" t="s">
        <v>15</v>
      </c>
      <c r="C11" s="191" t="s">
        <v>31</v>
      </c>
      <c r="D11" s="910"/>
      <c r="E11" s="910"/>
      <c r="F11" s="910"/>
      <c r="G11" s="191" t="s">
        <v>195</v>
      </c>
      <c r="H11" s="191" t="s">
        <v>197</v>
      </c>
      <c r="I11" s="191" t="s">
        <v>195</v>
      </c>
      <c r="J11" s="191" t="s">
        <v>197</v>
      </c>
      <c r="K11" s="191" t="s">
        <v>195</v>
      </c>
      <c r="L11" s="191" t="s">
        <v>197</v>
      </c>
      <c r="M11" s="910"/>
      <c r="N11" s="189"/>
    </row>
    <row r="12" spans="1:17" s="647" customFormat="1" ht="15">
      <c r="A12" s="192"/>
      <c r="B12" s="646" t="s">
        <v>2</v>
      </c>
      <c r="C12" s="648" t="s">
        <v>3</v>
      </c>
      <c r="D12" s="648" t="s">
        <v>4</v>
      </c>
      <c r="E12" s="646" t="s">
        <v>5</v>
      </c>
      <c r="F12" s="646">
        <v>1</v>
      </c>
      <c r="G12" s="646">
        <v>2</v>
      </c>
      <c r="H12" s="646" t="s">
        <v>213</v>
      </c>
      <c r="I12" s="646">
        <v>4</v>
      </c>
      <c r="J12" s="646" t="s">
        <v>214</v>
      </c>
      <c r="K12" s="646">
        <v>6</v>
      </c>
      <c r="L12" s="646" t="s">
        <v>215</v>
      </c>
      <c r="M12" s="646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76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76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76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76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76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76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76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76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76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76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76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76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76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76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76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76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76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76" t="str">
        <f>IF(B31="","",#REF!+1)</f>
        <v/>
      </c>
      <c r="B31" s="206"/>
      <c r="C31" s="207"/>
      <c r="D31" s="201"/>
      <c r="E31" s="208"/>
      <c r="F31" s="777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216</v>
      </c>
      <c r="E32" s="646" t="s">
        <v>19</v>
      </c>
      <c r="F32" s="646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217</v>
      </c>
      <c r="E33" s="647"/>
      <c r="G33" s="205"/>
      <c r="N33" s="193"/>
    </row>
    <row r="34" spans="2:14" s="175" customFormat="1" ht="15">
      <c r="B34" s="6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47"/>
      <c r="G34" s="205"/>
      <c r="I34" s="205"/>
      <c r="N34" s="193"/>
    </row>
    <row r="35" spans="2:14" s="175" customFormat="1" ht="15">
      <c r="B35" s="183"/>
      <c r="C35" s="183"/>
      <c r="D35" s="183"/>
      <c r="E35" s="647"/>
      <c r="F35" s="183"/>
      <c r="G35" s="213"/>
      <c r="H35" s="647"/>
      <c r="I35" s="214"/>
      <c r="J35" s="907" t="str">
        <f ca="1">"Ngày 31 tháng  12  năm  "&amp;YEAR($C$14)</f>
        <v>Ngày 31 tháng  12  năm  2016</v>
      </c>
      <c r="K35" s="907"/>
      <c r="L35" s="907"/>
      <c r="M35" s="907"/>
      <c r="N35" s="193"/>
    </row>
    <row r="36" spans="2:14" s="175" customFormat="1" ht="15">
      <c r="C36" s="183"/>
      <c r="D36" s="647" t="s">
        <v>11</v>
      </c>
      <c r="E36" s="907" t="s">
        <v>12</v>
      </c>
      <c r="F36" s="907"/>
      <c r="G36" s="907"/>
      <c r="H36" s="907"/>
      <c r="I36" s="907"/>
      <c r="J36" s="907" t="s">
        <v>104</v>
      </c>
      <c r="K36" s="907"/>
      <c r="L36" s="907"/>
      <c r="M36" s="907"/>
      <c r="N36" s="193"/>
    </row>
    <row r="37" spans="2:14" s="175" customFormat="1" ht="15">
      <c r="C37" s="183"/>
      <c r="D37" s="647" t="s">
        <v>13</v>
      </c>
      <c r="E37" s="907" t="s">
        <v>13</v>
      </c>
      <c r="F37" s="907"/>
      <c r="G37" s="907"/>
      <c r="H37" s="907" t="s">
        <v>131</v>
      </c>
      <c r="I37" s="907"/>
      <c r="J37" s="907" t="s">
        <v>131</v>
      </c>
      <c r="K37" s="907"/>
      <c r="L37" s="907"/>
      <c r="M37" s="907"/>
      <c r="N37" s="193"/>
    </row>
    <row r="38" spans="2:14" s="175" customFormat="1" ht="15">
      <c r="E38" s="647"/>
      <c r="N38" s="215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918" t="s">
        <v>218</v>
      </c>
      <c r="G1" s="918"/>
      <c r="H1" s="918"/>
      <c r="I1" s="918"/>
      <c r="J1" s="918"/>
      <c r="K1" s="220"/>
      <c r="L1" s="221"/>
    </row>
    <row r="2" spans="1:12" ht="15" customHeight="1">
      <c r="A2" s="406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917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17"/>
      <c r="H2" s="917"/>
      <c r="I2" s="917"/>
      <c r="J2" s="917"/>
      <c r="K2" s="220"/>
    </row>
    <row r="3" spans="1:12" ht="15">
      <c r="A3" s="222"/>
      <c r="B3" s="222"/>
      <c r="C3" s="222"/>
      <c r="D3" s="222"/>
      <c r="E3" s="223"/>
      <c r="F3" s="917"/>
      <c r="G3" s="917"/>
      <c r="H3" s="917"/>
      <c r="I3" s="917"/>
      <c r="J3" s="917"/>
      <c r="K3" s="220"/>
    </row>
    <row r="4" spans="1:12" ht="33.75" customHeight="1">
      <c r="A4" s="778"/>
      <c r="B4" s="778"/>
      <c r="C4" s="778"/>
      <c r="D4" s="778"/>
      <c r="E4" s="779" t="s">
        <v>219</v>
      </c>
      <c r="F4" s="778"/>
      <c r="G4" s="778"/>
      <c r="H4" s="778"/>
      <c r="I4" s="778"/>
      <c r="J4" s="220"/>
      <c r="K4" s="220"/>
    </row>
    <row r="5" spans="1:12" ht="15">
      <c r="A5" s="650"/>
      <c r="B5" s="650"/>
      <c r="C5" s="650"/>
      <c r="D5" s="650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50"/>
      <c r="G5" s="650"/>
      <c r="H5" s="650"/>
      <c r="I5" s="650"/>
      <c r="J5" s="220"/>
      <c r="K5" s="220"/>
    </row>
    <row r="6" spans="1:12" ht="15">
      <c r="A6" s="650"/>
      <c r="B6" s="650"/>
      <c r="C6" s="650"/>
      <c r="D6" s="650"/>
      <c r="E6" s="225" t="s">
        <v>220</v>
      </c>
      <c r="F6" s="650"/>
      <c r="G6" s="650"/>
      <c r="H6" s="650"/>
      <c r="I6" s="650"/>
      <c r="J6" s="220"/>
      <c r="K6" s="220"/>
    </row>
    <row r="7" spans="1:12" ht="15">
      <c r="A7" s="649" t="s">
        <v>221</v>
      </c>
      <c r="B7" s="649"/>
      <c r="C7" s="226"/>
      <c r="D7" s="226"/>
      <c r="E7" s="227" t="s">
        <v>442</v>
      </c>
      <c r="F7" s="224"/>
      <c r="G7" s="228"/>
      <c r="H7" s="228"/>
      <c r="I7" s="228"/>
      <c r="J7" s="220"/>
      <c r="K7" s="220"/>
    </row>
    <row r="8" spans="1:12" ht="15">
      <c r="A8" s="649" t="s">
        <v>222</v>
      </c>
      <c r="B8" s="649"/>
      <c r="C8" s="220" t="str">
        <f>VLOOKUP($E$7,NXT!$C$9:$L$182,2,0)</f>
        <v>kg</v>
      </c>
      <c r="D8" s="649"/>
      <c r="E8" s="227"/>
      <c r="F8" s="224"/>
      <c r="G8" s="228"/>
      <c r="H8" s="228"/>
      <c r="I8" s="228"/>
      <c r="J8" s="220"/>
      <c r="K8" s="220"/>
    </row>
    <row r="9" spans="1:12" ht="15">
      <c r="A9" s="919" t="s">
        <v>223</v>
      </c>
      <c r="B9" s="920"/>
      <c r="C9" s="920"/>
      <c r="D9" s="920"/>
      <c r="E9" s="227"/>
      <c r="F9" s="224"/>
      <c r="G9" s="228"/>
      <c r="H9" s="228"/>
      <c r="I9" s="228"/>
      <c r="J9" s="229"/>
      <c r="K9" s="229"/>
    </row>
    <row r="10" spans="1:12" ht="19.5" customHeight="1">
      <c r="A10" s="921" t="s">
        <v>224</v>
      </c>
      <c r="B10" s="922" t="s">
        <v>225</v>
      </c>
      <c r="C10" s="924" t="s">
        <v>15</v>
      </c>
      <c r="D10" s="925"/>
      <c r="E10" s="926" t="s">
        <v>0</v>
      </c>
      <c r="F10" s="935" t="s">
        <v>226</v>
      </c>
      <c r="G10" s="929" t="s">
        <v>195</v>
      </c>
      <c r="H10" s="929"/>
      <c r="I10" s="925"/>
      <c r="J10" s="930" t="s">
        <v>227</v>
      </c>
      <c r="K10" s="230"/>
      <c r="L10" s="231" t="s">
        <v>212</v>
      </c>
    </row>
    <row r="11" spans="1:12" ht="19.5" customHeight="1">
      <c r="A11" s="921"/>
      <c r="B11" s="923"/>
      <c r="C11" s="232" t="s">
        <v>209</v>
      </c>
      <c r="D11" s="232" t="s">
        <v>210</v>
      </c>
      <c r="E11" s="927"/>
      <c r="F11" s="936"/>
      <c r="G11" s="233" t="s">
        <v>209</v>
      </c>
      <c r="H11" s="233" t="s">
        <v>210</v>
      </c>
      <c r="I11" s="233" t="s">
        <v>211</v>
      </c>
      <c r="J11" s="931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186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80">
        <f ca="1">IF(B14&lt;&gt;"",ROW()-(ROW()-1),"")</f>
        <v>1</v>
      </c>
      <c r="B14" s="247">
        <f ca="1">IF(ROWS($1:1)&gt;COUNT(Dong12),"",OFFSET(TH!E$1,SMALL(Dong12,ROWS($1:1)),))</f>
        <v>42595</v>
      </c>
      <c r="C14" s="292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413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81">
        <f ca="1">IF(B15&lt;&gt;"",A14+1,"")</f>
        <v>2</v>
      </c>
      <c r="B15" s="247">
        <f ca="1">IF(ROWS($1:2)&gt;COUNT(Dong12),"",OFFSET(TH!E$1,SMALL(Dong12,ROWS($1:2)),))</f>
        <v>42601</v>
      </c>
      <c r="C15" s="292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413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81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92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413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81">
        <f t="shared" ca="1" si="2"/>
        <v>4</v>
      </c>
      <c r="B17" s="247">
        <f ca="1">IF(ROWS($1:4)&gt;COUNT(Dong12),"",OFFSET(TH!E$1,SMALL(Dong12,ROWS($1:4)),))</f>
        <v>42630</v>
      </c>
      <c r="C17" s="292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413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81">
        <f t="shared" ca="1" si="2"/>
        <v>5</v>
      </c>
      <c r="B18" s="247">
        <f ca="1">IF(ROWS($1:5)&gt;COUNT(Dong12),"",OFFSET(TH!E$1,SMALL(Dong12,ROWS($1:5)),))</f>
        <v>42712</v>
      </c>
      <c r="C18" s="292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413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81">
        <f t="shared" ca="1" si="2"/>
        <v>6</v>
      </c>
      <c r="B19" s="247">
        <f ca="1">IF(ROWS($1:6)&gt;COUNT(Dong12),"",OFFSET(TH!E$1,SMALL(Dong12,ROWS($1:6)),))</f>
        <v>42723</v>
      </c>
      <c r="C19" s="292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413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81">
        <f t="shared" ca="1" si="2"/>
        <v>7</v>
      </c>
      <c r="B20" s="247">
        <f ca="1">IF(ROWS($1:7)&gt;COUNT(Dong12),"",OFFSET(TH!E$1,SMALL(Dong12,ROWS($1:7)),))</f>
        <v>42732</v>
      </c>
      <c r="C20" s="292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413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81">
        <f t="shared" ca="1" si="2"/>
        <v>8</v>
      </c>
      <c r="B21" s="247">
        <f ca="1">IF(ROWS($1:8)&gt;COUNT(Dong12),"",OFFSET(TH!E$1,SMALL(Dong12,ROWS($1:8)),))</f>
        <v>42734</v>
      </c>
      <c r="C21" s="292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413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81">
        <f t="shared" ca="1" si="2"/>
        <v>9</v>
      </c>
      <c r="B22" s="247">
        <f ca="1">IF(ROWS($1:9)&gt;COUNT(Dong12),"",OFFSET(TH!E$1,SMALL(Dong12,ROWS($1:9)),))</f>
        <v>42595</v>
      </c>
      <c r="C22" s="292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413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81">
        <f t="shared" ca="1" si="2"/>
        <v>10</v>
      </c>
      <c r="B23" s="247">
        <f ca="1">IF(ROWS($1:10)&gt;COUNT(Dong12),"",OFFSET(TH!E$1,SMALL(Dong12,ROWS($1:10)),))</f>
        <v>42601</v>
      </c>
      <c r="C23" s="292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413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81">
        <f t="shared" ca="1" si="2"/>
        <v>11</v>
      </c>
      <c r="B24" s="247">
        <f ca="1">IF(ROWS($1:11)&gt;COUNT(Dong12),"",OFFSET(TH!E$1,SMALL(Dong12,ROWS($1:11)),))</f>
        <v>42613</v>
      </c>
      <c r="C24" s="292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413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81">
        <f t="shared" ca="1" si="2"/>
        <v>12</v>
      </c>
      <c r="B25" s="247">
        <f ca="1">IF(ROWS($1:12)&gt;COUNT(Dong12),"",OFFSET(TH!E$1,SMALL(Dong12,ROWS($1:12)),))</f>
        <v>42630</v>
      </c>
      <c r="C25" s="292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413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81">
        <f t="shared" ca="1" si="2"/>
        <v>13</v>
      </c>
      <c r="B26" s="247">
        <f ca="1">IF(ROWS($1:13)&gt;COUNT(Dong12),"",OFFSET(TH!E$1,SMALL(Dong12,ROWS($1:13)),))</f>
        <v>42712</v>
      </c>
      <c r="C26" s="292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413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81">
        <f t="shared" ca="1" si="2"/>
        <v>14</v>
      </c>
      <c r="B27" s="247">
        <f ca="1">IF(ROWS($1:14)&gt;COUNT(Dong12),"",OFFSET(TH!E$1,SMALL(Dong12,ROWS($1:14)),))</f>
        <v>42723</v>
      </c>
      <c r="C27" s="292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413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81" t="str">
        <f t="shared" ca="1" si="2"/>
        <v/>
      </c>
      <c r="B28" s="247" t="str">
        <f ca="1">IF(ROWS($1:15)&gt;COUNT(Dong12),"",OFFSET(TH!E$1,SMALL(Dong12,ROWS($1:15)),))</f>
        <v/>
      </c>
      <c r="C28" s="292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413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81" t="str">
        <f t="shared" ca="1" si="2"/>
        <v/>
      </c>
      <c r="B29" s="247" t="str">
        <f ca="1">IF(ROWS($1:16)&gt;COUNT(Dong12),"",OFFSET(TH!E$1,SMALL(Dong12,ROWS($1:16)),))</f>
        <v/>
      </c>
      <c r="C29" s="292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413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81" t="str">
        <f t="shared" ca="1" si="2"/>
        <v/>
      </c>
      <c r="B30" s="247" t="str">
        <f ca="1">IF(ROWS($1:17)&gt;COUNT(Dong12),"",OFFSET(TH!E$1,SMALL(Dong12,ROWS($1:17)),))</f>
        <v/>
      </c>
      <c r="C30" s="292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413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82" t="str">
        <f>IF(D31&lt;&gt;"",A21+1,"")</f>
        <v/>
      </c>
      <c r="B31" s="252"/>
      <c r="C31" s="253"/>
      <c r="D31" s="253"/>
      <c r="E31" s="414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228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229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3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33"/>
      <c r="C35" s="933"/>
      <c r="D35" s="933"/>
      <c r="E35" s="933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68" t="str">
        <f ca="1">"Ngày 31 tháng  12  năm  "&amp;YEAR($B$14)</f>
        <v>Ngày 31 tháng  12  năm  2016</v>
      </c>
      <c r="J36" s="164"/>
      <c r="K36" s="368"/>
    </row>
    <row r="37" spans="1:11" ht="15" customHeight="1">
      <c r="A37" s="263"/>
      <c r="C37" s="651" t="s">
        <v>230</v>
      </c>
      <c r="D37" s="260"/>
      <c r="E37" s="934" t="s">
        <v>12</v>
      </c>
      <c r="F37" s="934"/>
      <c r="G37" s="228"/>
      <c r="I37" s="396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28" t="s">
        <v>13</v>
      </c>
      <c r="F38" s="928"/>
      <c r="G38" s="228"/>
      <c r="I38" s="397" t="s">
        <v>131</v>
      </c>
      <c r="J38" s="395"/>
      <c r="K38" s="26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80" t="str">
        <f>TH!$A$1</f>
        <v>Đơn vị: CÔNG TY TNHH BAO BÌ GIẤY KIM DUNG PHÁT</v>
      </c>
      <c r="B1" s="456"/>
      <c r="C1" s="454"/>
      <c r="D1" s="466"/>
      <c r="E1" s="492"/>
      <c r="F1" s="492"/>
      <c r="G1" s="492"/>
      <c r="H1" s="159"/>
      <c r="I1" s="400"/>
      <c r="J1" s="400"/>
      <c r="K1" s="159"/>
      <c r="L1" s="467"/>
      <c r="M1" s="467"/>
      <c r="N1" s="159"/>
      <c r="O1" s="454"/>
      <c r="P1" s="492"/>
      <c r="Q1" s="159"/>
      <c r="R1" s="455"/>
    </row>
    <row r="2" spans="1:18" ht="18.75" customHeight="1">
      <c r="A2" s="457" t="s">
        <v>411</v>
      </c>
      <c r="B2" s="457"/>
      <c r="C2" s="454"/>
      <c r="D2" s="466"/>
      <c r="E2" s="531"/>
      <c r="F2" s="531"/>
      <c r="G2" s="531"/>
      <c r="H2" s="457"/>
      <c r="I2" s="457"/>
      <c r="J2" s="457"/>
      <c r="K2" s="457"/>
      <c r="L2" s="467"/>
      <c r="M2" s="467"/>
      <c r="N2" s="159"/>
      <c r="O2" s="454"/>
      <c r="P2" s="492"/>
      <c r="Q2" s="159"/>
      <c r="R2" s="455"/>
    </row>
    <row r="3" spans="1:18" ht="12.75" customHeight="1">
      <c r="A3" s="490"/>
      <c r="B3" s="487"/>
      <c r="C3" s="490"/>
      <c r="D3" s="490"/>
      <c r="E3" s="532"/>
      <c r="F3" s="532"/>
      <c r="G3" s="532"/>
      <c r="H3" s="487"/>
      <c r="I3" s="469"/>
      <c r="J3" s="469"/>
      <c r="K3" s="487"/>
      <c r="L3" s="467"/>
      <c r="M3" s="467"/>
      <c r="N3" s="462"/>
      <c r="O3" s="490"/>
      <c r="P3" s="493"/>
      <c r="Q3" s="470"/>
      <c r="R3" s="490"/>
    </row>
    <row r="4" spans="1:18" ht="21" customHeight="1">
      <c r="A4" s="937" t="s">
        <v>34</v>
      </c>
      <c r="B4" s="937" t="s">
        <v>231</v>
      </c>
      <c r="C4" s="937" t="s">
        <v>383</v>
      </c>
      <c r="D4" s="937" t="s">
        <v>384</v>
      </c>
      <c r="E4" s="941" t="s">
        <v>385</v>
      </c>
      <c r="F4" s="941"/>
      <c r="G4" s="941"/>
      <c r="H4" s="941"/>
      <c r="I4" s="937" t="s">
        <v>395</v>
      </c>
      <c r="J4" s="937" t="s">
        <v>232</v>
      </c>
      <c r="K4" s="937" t="s">
        <v>389</v>
      </c>
      <c r="L4" s="275"/>
      <c r="M4" s="275"/>
      <c r="N4" s="937" t="s">
        <v>231</v>
      </c>
      <c r="O4" s="937" t="s">
        <v>390</v>
      </c>
      <c r="P4" s="937" t="s">
        <v>190</v>
      </c>
      <c r="Q4" s="937" t="s">
        <v>233</v>
      </c>
      <c r="R4" s="937" t="s">
        <v>234</v>
      </c>
    </row>
    <row r="5" spans="1:18" ht="21" customHeight="1">
      <c r="A5" s="937"/>
      <c r="B5" s="937"/>
      <c r="C5" s="937"/>
      <c r="D5" s="937"/>
      <c r="E5" s="494" t="s">
        <v>386</v>
      </c>
      <c r="F5" s="494" t="s">
        <v>387</v>
      </c>
      <c r="G5" s="494" t="s">
        <v>388</v>
      </c>
      <c r="H5" s="274" t="s">
        <v>393</v>
      </c>
      <c r="I5" s="937"/>
      <c r="J5" s="937"/>
      <c r="K5" s="937"/>
      <c r="L5" s="275"/>
      <c r="M5" s="275"/>
      <c r="N5" s="937"/>
      <c r="O5" s="937"/>
      <c r="P5" s="937"/>
      <c r="Q5" s="937"/>
      <c r="R5" s="937"/>
    </row>
    <row r="6" spans="1:18" ht="16.5" customHeight="1">
      <c r="A6" s="790">
        <f>IF(B6&lt;&gt;"",ROW()-(ROW()-1),"")</f>
        <v>1</v>
      </c>
      <c r="B6" s="160" t="s">
        <v>491</v>
      </c>
      <c r="C6" s="472">
        <v>42566</v>
      </c>
      <c r="D6" s="473" t="s">
        <v>697</v>
      </c>
      <c r="E6" s="533">
        <v>85.5</v>
      </c>
      <c r="F6" s="533">
        <v>100.5</v>
      </c>
      <c r="G6" s="533">
        <v>35</v>
      </c>
      <c r="H6" s="529">
        <f>IF(G6&lt;&gt;"",ROUND(((E6+F6)*2+5)*(F6+G6+3)/10000,2),ROUND(E6*F6/10000,2))</f>
        <v>5.22</v>
      </c>
      <c r="I6" s="459">
        <f t="shared" ref="I6:I37" si="0">H6*J6</f>
        <v>381.06</v>
      </c>
      <c r="J6" s="575">
        <v>73</v>
      </c>
      <c r="K6" s="459">
        <f t="shared" ref="K6:K14" si="1">H6*$R$33</f>
        <v>43030.791972046798</v>
      </c>
      <c r="L6" s="412">
        <v>21849</v>
      </c>
      <c r="M6" s="471"/>
      <c r="N6" s="276" t="s">
        <v>403</v>
      </c>
      <c r="O6" s="472">
        <v>42529</v>
      </c>
      <c r="P6" s="163">
        <v>10288</v>
      </c>
      <c r="Q6" s="489">
        <v>7500</v>
      </c>
      <c r="R6" s="5">
        <f t="shared" ref="R6:R7" si="2">ROUND(P6*Q6,0)</f>
        <v>77160000</v>
      </c>
    </row>
    <row r="7" spans="1:18" ht="16.5" customHeight="1">
      <c r="A7" s="790">
        <f>IF(B7&lt;&gt;"",A6+1,"")</f>
        <v>2</v>
      </c>
      <c r="B7" s="161" t="s">
        <v>495</v>
      </c>
      <c r="C7" s="474">
        <v>42566</v>
      </c>
      <c r="D7" s="475" t="s">
        <v>698</v>
      </c>
      <c r="E7" s="534">
        <v>117</v>
      </c>
      <c r="F7" s="533">
        <v>87</v>
      </c>
      <c r="G7" s="533">
        <v>5</v>
      </c>
      <c r="H7" s="574">
        <f t="shared" ref="H7:H70" si="3">IF(G7&lt;&gt;"",ROUND(((E7+F7)*2+5)*(F7+G7+3)/10000,2),ROUND(E7*F7/10000,2))</f>
        <v>3.92</v>
      </c>
      <c r="I7" s="134">
        <f t="shared" si="0"/>
        <v>392</v>
      </c>
      <c r="J7" s="549">
        <v>100</v>
      </c>
      <c r="K7" s="134">
        <f t="shared" si="1"/>
        <v>32314.311212724799</v>
      </c>
      <c r="L7" s="412">
        <v>10000</v>
      </c>
      <c r="M7" s="471"/>
      <c r="N7" s="277" t="s">
        <v>403</v>
      </c>
      <c r="O7" s="472">
        <v>42542</v>
      </c>
      <c r="P7" s="495">
        <v>4094</v>
      </c>
      <c r="Q7" s="488">
        <v>7600</v>
      </c>
      <c r="R7" s="5">
        <f t="shared" si="2"/>
        <v>31114400</v>
      </c>
    </row>
    <row r="8" spans="1:18" ht="16.5" customHeight="1">
      <c r="A8" s="790">
        <f t="shared" ref="A8:A120" si="4">IF(B8&lt;&gt;"",A7+1,"")</f>
        <v>3</v>
      </c>
      <c r="B8" s="161" t="s">
        <v>496</v>
      </c>
      <c r="C8" s="474">
        <v>42566</v>
      </c>
      <c r="D8" s="475" t="s">
        <v>698</v>
      </c>
      <c r="E8" s="534">
        <v>103</v>
      </c>
      <c r="F8" s="533">
        <v>54</v>
      </c>
      <c r="G8" s="533">
        <v>180</v>
      </c>
      <c r="H8" s="574">
        <f t="shared" si="3"/>
        <v>7.56</v>
      </c>
      <c r="I8" s="134">
        <f t="shared" si="0"/>
        <v>876.95999999999992</v>
      </c>
      <c r="J8" s="549">
        <v>116</v>
      </c>
      <c r="K8" s="134">
        <f t="shared" si="1"/>
        <v>62320.457338826389</v>
      </c>
      <c r="L8" s="412">
        <v>73100</v>
      </c>
      <c r="M8" s="471"/>
      <c r="N8" s="277" t="s">
        <v>405</v>
      </c>
      <c r="O8" s="472">
        <v>42542</v>
      </c>
      <c r="P8" s="495">
        <v>4522</v>
      </c>
      <c r="Q8" s="488">
        <v>8500</v>
      </c>
      <c r="R8" s="5">
        <f t="shared" ref="R8:R12" si="5">ROUND(P8*Q8,0)</f>
        <v>38437000</v>
      </c>
    </row>
    <row r="9" spans="1:18" ht="16.5" customHeight="1">
      <c r="A9" s="790">
        <f t="shared" si="4"/>
        <v>4</v>
      </c>
      <c r="B9" s="161" t="s">
        <v>497</v>
      </c>
      <c r="C9" s="474">
        <v>42566</v>
      </c>
      <c r="D9" s="475" t="s">
        <v>699</v>
      </c>
      <c r="E9" s="534">
        <v>88</v>
      </c>
      <c r="F9" s="533">
        <v>68</v>
      </c>
      <c r="G9" s="533">
        <v>15</v>
      </c>
      <c r="H9" s="574">
        <f t="shared" si="3"/>
        <v>2.73</v>
      </c>
      <c r="I9" s="134">
        <f t="shared" si="0"/>
        <v>600.6</v>
      </c>
      <c r="J9" s="549">
        <v>220</v>
      </c>
      <c r="K9" s="134">
        <f t="shared" si="1"/>
        <v>22504.609594576199</v>
      </c>
      <c r="L9" s="412">
        <v>28000</v>
      </c>
      <c r="M9" s="471"/>
      <c r="N9" s="277" t="s">
        <v>448</v>
      </c>
      <c r="O9" s="472">
        <v>42542</v>
      </c>
      <c r="P9" s="495">
        <v>2633</v>
      </c>
      <c r="Q9" s="488">
        <v>8500</v>
      </c>
      <c r="R9" s="5">
        <f t="shared" si="5"/>
        <v>22380500</v>
      </c>
    </row>
    <row r="10" spans="1:18" ht="16.5" customHeight="1">
      <c r="A10" s="790">
        <f t="shared" si="4"/>
        <v>5</v>
      </c>
      <c r="B10" s="161" t="s">
        <v>498</v>
      </c>
      <c r="C10" s="474">
        <v>42566</v>
      </c>
      <c r="D10" s="475" t="s">
        <v>699</v>
      </c>
      <c r="E10" s="534">
        <v>47</v>
      </c>
      <c r="F10" s="533">
        <v>42</v>
      </c>
      <c r="G10" s="533">
        <v>25</v>
      </c>
      <c r="H10" s="574">
        <f t="shared" si="3"/>
        <v>1.28</v>
      </c>
      <c r="I10" s="134">
        <f t="shared" si="0"/>
        <v>456.96000000000004</v>
      </c>
      <c r="J10" s="549">
        <v>357</v>
      </c>
      <c r="K10" s="134">
        <f t="shared" si="1"/>
        <v>10551.611824563199</v>
      </c>
      <c r="L10" s="412">
        <v>9600</v>
      </c>
      <c r="M10" s="471"/>
      <c r="N10" s="277" t="s">
        <v>403</v>
      </c>
      <c r="O10" s="472">
        <v>42551</v>
      </c>
      <c r="P10" s="495">
        <v>6226</v>
      </c>
      <c r="Q10" s="488">
        <v>7600</v>
      </c>
      <c r="R10" s="5">
        <f t="shared" si="5"/>
        <v>47317600</v>
      </c>
    </row>
    <row r="11" spans="1:18" ht="16.5" customHeight="1">
      <c r="A11" s="790">
        <f t="shared" si="4"/>
        <v>6</v>
      </c>
      <c r="B11" s="161" t="s">
        <v>499</v>
      </c>
      <c r="C11" s="474">
        <v>42566</v>
      </c>
      <c r="D11" s="475" t="s">
        <v>699</v>
      </c>
      <c r="E11" s="534">
        <v>48</v>
      </c>
      <c r="F11" s="533">
        <v>41</v>
      </c>
      <c r="G11" s="533">
        <v>29</v>
      </c>
      <c r="H11" s="574">
        <f t="shared" si="3"/>
        <v>1.34</v>
      </c>
      <c r="I11" s="134">
        <f t="shared" si="0"/>
        <v>93.800000000000011</v>
      </c>
      <c r="J11" s="549">
        <v>70</v>
      </c>
      <c r="K11" s="134">
        <f t="shared" si="1"/>
        <v>11046.218628839601</v>
      </c>
      <c r="L11" s="412">
        <v>14400</v>
      </c>
      <c r="M11" s="471"/>
      <c r="N11" s="277" t="s">
        <v>405</v>
      </c>
      <c r="O11" s="472">
        <v>42551</v>
      </c>
      <c r="P11" s="495">
        <v>8730</v>
      </c>
      <c r="Q11" s="488">
        <v>8500</v>
      </c>
      <c r="R11" s="5">
        <f t="shared" si="5"/>
        <v>74205000</v>
      </c>
    </row>
    <row r="12" spans="1:18" ht="16.5" customHeight="1">
      <c r="A12" s="790">
        <f t="shared" si="4"/>
        <v>7</v>
      </c>
      <c r="B12" s="161" t="s">
        <v>500</v>
      </c>
      <c r="C12" s="474">
        <v>42567</v>
      </c>
      <c r="D12" s="475" t="s">
        <v>700</v>
      </c>
      <c r="E12" s="534">
        <v>45</v>
      </c>
      <c r="F12" s="533">
        <v>37</v>
      </c>
      <c r="G12" s="533">
        <v>27.5</v>
      </c>
      <c r="H12" s="574">
        <f t="shared" si="3"/>
        <v>1.1399999999999999</v>
      </c>
      <c r="I12" s="134">
        <f t="shared" si="0"/>
        <v>341.99999999999994</v>
      </c>
      <c r="J12" s="549">
        <v>300</v>
      </c>
      <c r="K12" s="134">
        <f t="shared" si="1"/>
        <v>9397.5292812515981</v>
      </c>
      <c r="L12" s="412">
        <v>13400</v>
      </c>
      <c r="M12" s="471"/>
      <c r="N12" s="277" t="s">
        <v>448</v>
      </c>
      <c r="O12" s="472">
        <v>42551</v>
      </c>
      <c r="P12" s="495">
        <v>8191</v>
      </c>
      <c r="Q12" s="488">
        <v>8500</v>
      </c>
      <c r="R12" s="5">
        <f t="shared" si="5"/>
        <v>69623500</v>
      </c>
    </row>
    <row r="13" spans="1:18" ht="16.5" customHeight="1">
      <c r="A13" s="790">
        <f t="shared" si="4"/>
        <v>8</v>
      </c>
      <c r="B13" s="161" t="s">
        <v>500</v>
      </c>
      <c r="C13" s="474">
        <v>42567</v>
      </c>
      <c r="D13" s="475" t="s">
        <v>700</v>
      </c>
      <c r="E13" s="534">
        <v>45</v>
      </c>
      <c r="F13" s="533">
        <v>37</v>
      </c>
      <c r="G13" s="533">
        <v>27.5</v>
      </c>
      <c r="H13" s="574">
        <f t="shared" si="3"/>
        <v>1.1399999999999999</v>
      </c>
      <c r="I13" s="134">
        <f t="shared" si="0"/>
        <v>570</v>
      </c>
      <c r="J13" s="549">
        <v>500</v>
      </c>
      <c r="K13" s="134">
        <f t="shared" si="1"/>
        <v>9397.5292812515981</v>
      </c>
      <c r="L13" s="412">
        <v>13800</v>
      </c>
      <c r="M13" s="471"/>
      <c r="N13" s="277"/>
      <c r="O13" s="472"/>
      <c r="P13" s="495"/>
      <c r="Q13" s="488"/>
      <c r="R13" s="5"/>
    </row>
    <row r="14" spans="1:18" ht="16.5" customHeight="1">
      <c r="A14" s="790">
        <f t="shared" si="4"/>
        <v>9</v>
      </c>
      <c r="B14" s="161" t="s">
        <v>375</v>
      </c>
      <c r="C14" s="474">
        <v>42567</v>
      </c>
      <c r="D14" s="475" t="s">
        <v>700</v>
      </c>
      <c r="E14" s="534">
        <v>44</v>
      </c>
      <c r="F14" s="533">
        <v>20</v>
      </c>
      <c r="G14" s="533"/>
      <c r="H14" s="574">
        <f t="shared" si="3"/>
        <v>0.09</v>
      </c>
      <c r="I14" s="134">
        <f t="shared" si="0"/>
        <v>144</v>
      </c>
      <c r="J14" s="549">
        <v>1600</v>
      </c>
      <c r="K14" s="134">
        <f t="shared" si="1"/>
        <v>741.91020641459988</v>
      </c>
      <c r="L14" s="412">
        <v>1300</v>
      </c>
      <c r="M14" s="471"/>
      <c r="N14" s="525" t="s">
        <v>377</v>
      </c>
      <c r="O14" s="526"/>
      <c r="P14" s="527"/>
      <c r="Q14" s="346"/>
      <c r="R14" s="346">
        <f>SUM(R6:R13)</f>
        <v>360238000</v>
      </c>
    </row>
    <row r="15" spans="1:18" ht="16.5" customHeight="1">
      <c r="A15" s="790">
        <f t="shared" si="4"/>
        <v>10</v>
      </c>
      <c r="B15" s="161" t="s">
        <v>501</v>
      </c>
      <c r="C15" s="474">
        <v>42567</v>
      </c>
      <c r="D15" s="475" t="s">
        <v>701</v>
      </c>
      <c r="E15" s="534">
        <v>55</v>
      </c>
      <c r="F15" s="533">
        <v>28</v>
      </c>
      <c r="G15" s="533">
        <v>23.5</v>
      </c>
      <c r="H15" s="574">
        <f t="shared" si="3"/>
        <v>0.93</v>
      </c>
      <c r="I15" s="134">
        <f t="shared" si="0"/>
        <v>934.65000000000009</v>
      </c>
      <c r="J15" s="549">
        <v>1005</v>
      </c>
      <c r="K15" s="134">
        <f t="shared" ref="K15:K21" si="6">H15*$R$33</f>
        <v>7666.4054662842</v>
      </c>
      <c r="L15" s="412">
        <v>11000</v>
      </c>
      <c r="M15" s="471"/>
      <c r="N15" s="109" t="s">
        <v>442</v>
      </c>
      <c r="O15" s="474">
        <v>42595</v>
      </c>
      <c r="P15" s="488">
        <v>19810</v>
      </c>
      <c r="Q15" s="488">
        <v>780</v>
      </c>
      <c r="R15" s="5">
        <f t="shared" ref="R15" si="7">ROUND(P15*Q15,0)</f>
        <v>15451800</v>
      </c>
    </row>
    <row r="16" spans="1:18" ht="16.5" customHeight="1">
      <c r="A16" s="790">
        <f t="shared" si="4"/>
        <v>11</v>
      </c>
      <c r="B16" s="161" t="s">
        <v>502</v>
      </c>
      <c r="C16" s="474">
        <v>42569</v>
      </c>
      <c r="D16" s="475" t="s">
        <v>702</v>
      </c>
      <c r="E16" s="534">
        <v>37.5</v>
      </c>
      <c r="F16" s="533">
        <v>23.5</v>
      </c>
      <c r="G16" s="533">
        <v>69.5</v>
      </c>
      <c r="H16" s="574">
        <f t="shared" si="3"/>
        <v>1.22</v>
      </c>
      <c r="I16" s="134">
        <f t="shared" si="0"/>
        <v>309.88</v>
      </c>
      <c r="J16" s="549">
        <v>254</v>
      </c>
      <c r="K16" s="134">
        <f t="shared" si="6"/>
        <v>10057.005020286799</v>
      </c>
      <c r="L16" s="412">
        <v>10300</v>
      </c>
      <c r="M16" s="471"/>
      <c r="N16" s="109" t="s">
        <v>442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6.5" customHeight="1">
      <c r="A17" s="790">
        <f t="shared" si="4"/>
        <v>12</v>
      </c>
      <c r="B17" s="161" t="s">
        <v>503</v>
      </c>
      <c r="C17" s="474">
        <v>42569</v>
      </c>
      <c r="D17" s="475" t="s">
        <v>703</v>
      </c>
      <c r="E17" s="534">
        <v>40</v>
      </c>
      <c r="F17" s="533">
        <v>25</v>
      </c>
      <c r="G17" s="533">
        <v>72</v>
      </c>
      <c r="H17" s="574">
        <f t="shared" si="3"/>
        <v>1.35</v>
      </c>
      <c r="I17" s="134">
        <f t="shared" si="0"/>
        <v>101.25</v>
      </c>
      <c r="J17" s="549">
        <v>75</v>
      </c>
      <c r="K17" s="134">
        <f t="shared" si="6"/>
        <v>11128.653096218999</v>
      </c>
      <c r="L17" s="412">
        <v>10800</v>
      </c>
      <c r="M17" s="471"/>
      <c r="N17" s="109" t="s">
        <v>442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6.5" customHeight="1">
      <c r="A18" s="790">
        <f t="shared" si="4"/>
        <v>13</v>
      </c>
      <c r="B18" s="161" t="s">
        <v>506</v>
      </c>
      <c r="C18" s="474">
        <v>42571</v>
      </c>
      <c r="D18" s="475" t="s">
        <v>704</v>
      </c>
      <c r="E18" s="534">
        <v>70</v>
      </c>
      <c r="F18" s="533">
        <v>45</v>
      </c>
      <c r="G18" s="533"/>
      <c r="H18" s="574">
        <f t="shared" si="3"/>
        <v>0.32</v>
      </c>
      <c r="I18" s="134">
        <f t="shared" si="0"/>
        <v>160</v>
      </c>
      <c r="J18" s="549">
        <v>500</v>
      </c>
      <c r="K18" s="134">
        <f t="shared" si="6"/>
        <v>2637.9029561407997</v>
      </c>
      <c r="L18" s="412">
        <v>3200</v>
      </c>
      <c r="M18" s="471"/>
      <c r="N18" s="109" t="s">
        <v>775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6.5" customHeight="1">
      <c r="A19" s="790">
        <f t="shared" si="4"/>
        <v>14</v>
      </c>
      <c r="B19" s="161" t="s">
        <v>507</v>
      </c>
      <c r="C19" s="474">
        <v>42571</v>
      </c>
      <c r="D19" s="475" t="s">
        <v>704</v>
      </c>
      <c r="E19" s="534">
        <v>50</v>
      </c>
      <c r="F19" s="533">
        <v>40</v>
      </c>
      <c r="G19" s="533"/>
      <c r="H19" s="574">
        <f t="shared" si="3"/>
        <v>0.2</v>
      </c>
      <c r="I19" s="134">
        <f t="shared" si="0"/>
        <v>60</v>
      </c>
      <c r="J19" s="549">
        <v>300</v>
      </c>
      <c r="K19" s="134">
        <f t="shared" si="6"/>
        <v>1648.6893475879999</v>
      </c>
      <c r="L19" s="412">
        <v>2200</v>
      </c>
      <c r="M19" s="471"/>
      <c r="N19" s="109" t="s">
        <v>442</v>
      </c>
      <c r="O19" s="47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6.5" customHeight="1">
      <c r="A20" s="790">
        <f t="shared" si="4"/>
        <v>15</v>
      </c>
      <c r="B20" s="161" t="s">
        <v>508</v>
      </c>
      <c r="C20" s="474">
        <v>42571</v>
      </c>
      <c r="D20" s="475" t="s">
        <v>705</v>
      </c>
      <c r="E20" s="534">
        <v>37.5</v>
      </c>
      <c r="F20" s="533">
        <v>25.5</v>
      </c>
      <c r="G20" s="533">
        <v>23.9</v>
      </c>
      <c r="H20" s="574">
        <f t="shared" si="3"/>
        <v>0.69</v>
      </c>
      <c r="I20" s="134">
        <f t="shared" si="0"/>
        <v>1075.7099999999998</v>
      </c>
      <c r="J20" s="549">
        <v>1559</v>
      </c>
      <c r="K20" s="134">
        <f t="shared" si="6"/>
        <v>5687.9782491785991</v>
      </c>
      <c r="L20" s="412">
        <v>5900</v>
      </c>
      <c r="M20" s="471"/>
      <c r="N20" s="109" t="s">
        <v>775</v>
      </c>
      <c r="O20" s="47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6.5" customHeight="1">
      <c r="A21" s="790">
        <f t="shared" si="4"/>
        <v>16</v>
      </c>
      <c r="B21" s="161" t="s">
        <v>510</v>
      </c>
      <c r="C21" s="474">
        <v>42572</v>
      </c>
      <c r="D21" s="475" t="s">
        <v>706</v>
      </c>
      <c r="E21" s="534">
        <v>72</v>
      </c>
      <c r="F21" s="533">
        <v>51.5</v>
      </c>
      <c r="G21" s="533">
        <v>40</v>
      </c>
      <c r="H21" s="574">
        <f t="shared" si="3"/>
        <v>2.38</v>
      </c>
      <c r="I21" s="134">
        <f t="shared" si="0"/>
        <v>242.76</v>
      </c>
      <c r="J21" s="549">
        <v>102</v>
      </c>
      <c r="K21" s="134">
        <f t="shared" si="6"/>
        <v>19619.403236297199</v>
      </c>
      <c r="L21" s="412">
        <v>7900</v>
      </c>
      <c r="M21" s="471"/>
      <c r="N21" s="277"/>
      <c r="O21" s="472"/>
      <c r="P21" s="495"/>
      <c r="Q21" s="488"/>
      <c r="R21" s="5"/>
    </row>
    <row r="22" spans="1:18" ht="16.5" customHeight="1">
      <c r="A22" s="790">
        <f>IF(B22&lt;&gt;"",A21+1,"")</f>
        <v>17</v>
      </c>
      <c r="B22" s="161" t="s">
        <v>509</v>
      </c>
      <c r="C22" s="474">
        <v>42572</v>
      </c>
      <c r="D22" s="475" t="s">
        <v>706</v>
      </c>
      <c r="E22" s="534">
        <v>49.5</v>
      </c>
      <c r="F22" s="533">
        <v>38.5</v>
      </c>
      <c r="G22" s="533">
        <v>32.5</v>
      </c>
      <c r="H22" s="574">
        <f t="shared" si="3"/>
        <v>1.34</v>
      </c>
      <c r="I22" s="134">
        <f t="shared" si="0"/>
        <v>138.02000000000001</v>
      </c>
      <c r="J22" s="549">
        <v>103</v>
      </c>
      <c r="K22" s="134">
        <f t="shared" ref="K22:K53" si="9">H22*$R$33</f>
        <v>11046.218628839601</v>
      </c>
      <c r="L22" s="412">
        <v>12900</v>
      </c>
      <c r="M22" s="471"/>
      <c r="N22" s="525" t="s">
        <v>378</v>
      </c>
      <c r="O22" s="526"/>
      <c r="P22" s="527"/>
      <c r="Q22" s="346"/>
      <c r="R22" s="346">
        <f>SUM(R15:R21)</f>
        <v>83691600</v>
      </c>
    </row>
    <row r="23" spans="1:18" ht="16.5" customHeight="1">
      <c r="A23" s="790">
        <f t="shared" si="4"/>
        <v>18</v>
      </c>
      <c r="B23" s="161" t="s">
        <v>644</v>
      </c>
      <c r="C23" s="474">
        <v>42573</v>
      </c>
      <c r="D23" s="475" t="s">
        <v>707</v>
      </c>
      <c r="E23" s="534">
        <v>43</v>
      </c>
      <c r="F23" s="533">
        <v>42</v>
      </c>
      <c r="G23" s="533">
        <v>26</v>
      </c>
      <c r="H23" s="574">
        <f t="shared" si="3"/>
        <v>1.24</v>
      </c>
      <c r="I23" s="134">
        <f t="shared" si="0"/>
        <v>310</v>
      </c>
      <c r="J23" s="549">
        <v>250</v>
      </c>
      <c r="K23" s="134">
        <f t="shared" si="9"/>
        <v>10221.873955045599</v>
      </c>
      <c r="L23" s="412">
        <v>12400</v>
      </c>
      <c r="M23" s="471"/>
      <c r="N23" s="277" t="s">
        <v>379</v>
      </c>
      <c r="O23" s="472"/>
      <c r="P23" s="495"/>
      <c r="Q23" s="488"/>
      <c r="R23" s="5">
        <f>R14</f>
        <v>360238000</v>
      </c>
    </row>
    <row r="24" spans="1:18" ht="16.5" customHeight="1">
      <c r="A24" s="790">
        <f t="shared" si="4"/>
        <v>19</v>
      </c>
      <c r="B24" s="161" t="s">
        <v>645</v>
      </c>
      <c r="C24" s="474">
        <v>42573</v>
      </c>
      <c r="D24" s="475" t="s">
        <v>707</v>
      </c>
      <c r="E24" s="534">
        <v>49</v>
      </c>
      <c r="F24" s="533">
        <v>47</v>
      </c>
      <c r="G24" s="533">
        <v>27</v>
      </c>
      <c r="H24" s="574">
        <f t="shared" si="3"/>
        <v>1.52</v>
      </c>
      <c r="I24" s="134">
        <f t="shared" si="0"/>
        <v>304</v>
      </c>
      <c r="J24" s="549">
        <v>200</v>
      </c>
      <c r="K24" s="134">
        <f t="shared" si="9"/>
        <v>12530.039041668799</v>
      </c>
      <c r="L24" s="412">
        <v>14200</v>
      </c>
      <c r="M24" s="471"/>
      <c r="N24" s="277" t="s">
        <v>380</v>
      </c>
      <c r="O24" s="472"/>
      <c r="P24" s="495"/>
      <c r="Q24" s="488"/>
      <c r="R24" s="5">
        <f>R22</f>
        <v>83691600</v>
      </c>
    </row>
    <row r="25" spans="1:18" ht="16.5" customHeight="1">
      <c r="A25" s="790">
        <f t="shared" si="4"/>
        <v>20</v>
      </c>
      <c r="B25" s="161" t="s">
        <v>646</v>
      </c>
      <c r="C25" s="474">
        <v>42573</v>
      </c>
      <c r="D25" s="475" t="s">
        <v>707</v>
      </c>
      <c r="E25" s="534">
        <v>40</v>
      </c>
      <c r="F25" s="533">
        <v>39</v>
      </c>
      <c r="G25" s="533">
        <v>32</v>
      </c>
      <c r="H25" s="574">
        <f t="shared" si="3"/>
        <v>1.21</v>
      </c>
      <c r="I25" s="134">
        <f t="shared" si="0"/>
        <v>363</v>
      </c>
      <c r="J25" s="549">
        <v>300</v>
      </c>
      <c r="K25" s="134">
        <f t="shared" si="9"/>
        <v>9974.5705529073985</v>
      </c>
      <c r="L25" s="412">
        <v>16500</v>
      </c>
      <c r="M25" s="471"/>
      <c r="N25" s="277" t="s">
        <v>382</v>
      </c>
      <c r="O25" s="472"/>
      <c r="P25" s="495"/>
      <c r="Q25" s="488"/>
      <c r="R25" s="5">
        <v>13220000</v>
      </c>
    </row>
    <row r="26" spans="1:18" ht="16.5" customHeight="1">
      <c r="A26" s="790">
        <f t="shared" si="4"/>
        <v>21</v>
      </c>
      <c r="B26" s="161" t="s">
        <v>647</v>
      </c>
      <c r="C26" s="474">
        <v>42573</v>
      </c>
      <c r="D26" s="475" t="s">
        <v>707</v>
      </c>
      <c r="E26" s="534">
        <v>42</v>
      </c>
      <c r="F26" s="533">
        <v>41</v>
      </c>
      <c r="G26" s="533">
        <v>34</v>
      </c>
      <c r="H26" s="574">
        <f t="shared" si="3"/>
        <v>1.33</v>
      </c>
      <c r="I26" s="134">
        <f t="shared" si="0"/>
        <v>399</v>
      </c>
      <c r="J26" s="549">
        <v>300</v>
      </c>
      <c r="K26" s="134">
        <f t="shared" si="9"/>
        <v>10963.7841614602</v>
      </c>
      <c r="L26" s="412">
        <v>24500</v>
      </c>
      <c r="M26" s="471"/>
      <c r="N26" s="277" t="s">
        <v>381</v>
      </c>
      <c r="O26" s="472"/>
      <c r="P26" s="495"/>
      <c r="Q26" s="488"/>
      <c r="R26" s="5">
        <v>13250000</v>
      </c>
    </row>
    <row r="27" spans="1:18" ht="16.5" customHeight="1">
      <c r="A27" s="790">
        <f t="shared" si="4"/>
        <v>22</v>
      </c>
      <c r="B27" s="161" t="s">
        <v>817</v>
      </c>
      <c r="C27" s="474">
        <v>42573</v>
      </c>
      <c r="D27" s="475" t="s">
        <v>707</v>
      </c>
      <c r="E27" s="534">
        <v>63</v>
      </c>
      <c r="F27" s="533">
        <v>53</v>
      </c>
      <c r="G27" s="533">
        <v>32</v>
      </c>
      <c r="H27" s="574">
        <f t="shared" si="3"/>
        <v>2.09</v>
      </c>
      <c r="I27" s="134">
        <f t="shared" si="0"/>
        <v>418</v>
      </c>
      <c r="J27" s="549">
        <v>200</v>
      </c>
      <c r="K27" s="134">
        <f t="shared" si="9"/>
        <v>17228.803682294598</v>
      </c>
      <c r="L27" s="412">
        <v>25500</v>
      </c>
      <c r="M27" s="471"/>
      <c r="N27" s="277" t="s">
        <v>394</v>
      </c>
      <c r="O27" s="472"/>
      <c r="P27" s="495"/>
      <c r="Q27" s="488"/>
      <c r="R27" s="5">
        <v>41880000</v>
      </c>
    </row>
    <row r="28" spans="1:18" ht="16.5" customHeight="1">
      <c r="A28" s="790">
        <f t="shared" si="4"/>
        <v>23</v>
      </c>
      <c r="B28" s="161" t="s">
        <v>653</v>
      </c>
      <c r="C28" s="474">
        <v>42574</v>
      </c>
      <c r="D28" s="475" t="s">
        <v>708</v>
      </c>
      <c r="E28" s="534">
        <v>63</v>
      </c>
      <c r="F28" s="533">
        <v>42</v>
      </c>
      <c r="G28" s="533">
        <v>27</v>
      </c>
      <c r="H28" s="574">
        <f t="shared" si="3"/>
        <v>1.55</v>
      </c>
      <c r="I28" s="134">
        <f t="shared" si="0"/>
        <v>821.5</v>
      </c>
      <c r="J28" s="549">
        <v>530</v>
      </c>
      <c r="K28" s="134">
        <f t="shared" si="9"/>
        <v>12777.342443807</v>
      </c>
      <c r="L28" s="412">
        <v>17800</v>
      </c>
      <c r="M28" s="471"/>
      <c r="N28" s="111"/>
      <c r="O28" s="472"/>
      <c r="P28" s="495"/>
      <c r="Q28" s="488"/>
      <c r="R28" s="5"/>
    </row>
    <row r="29" spans="1:18" ht="16.5" customHeight="1">
      <c r="A29" s="790">
        <f t="shared" si="4"/>
        <v>24</v>
      </c>
      <c r="B29" s="161" t="s">
        <v>498</v>
      </c>
      <c r="C29" s="474">
        <v>42574</v>
      </c>
      <c r="D29" s="475" t="s">
        <v>708</v>
      </c>
      <c r="E29" s="534">
        <v>47</v>
      </c>
      <c r="F29" s="533">
        <v>42</v>
      </c>
      <c r="G29" s="533">
        <v>25</v>
      </c>
      <c r="H29" s="574">
        <f t="shared" si="3"/>
        <v>1.28</v>
      </c>
      <c r="I29" s="134">
        <f t="shared" si="0"/>
        <v>42.24</v>
      </c>
      <c r="J29" s="549">
        <v>33</v>
      </c>
      <c r="K29" s="134">
        <f t="shared" si="9"/>
        <v>10551.611824563199</v>
      </c>
      <c r="L29" s="412">
        <v>9600</v>
      </c>
      <c r="M29" s="471"/>
      <c r="N29" s="277"/>
      <c r="O29" s="472"/>
      <c r="P29" s="495"/>
      <c r="Q29" s="488"/>
      <c r="R29" s="5"/>
    </row>
    <row r="30" spans="1:18" ht="16.5" customHeight="1">
      <c r="A30" s="790">
        <f t="shared" si="4"/>
        <v>25</v>
      </c>
      <c r="B30" s="161" t="s">
        <v>654</v>
      </c>
      <c r="C30" s="474">
        <v>42574</v>
      </c>
      <c r="D30" s="475" t="s">
        <v>708</v>
      </c>
      <c r="E30" s="534">
        <v>58</v>
      </c>
      <c r="F30" s="533">
        <v>31</v>
      </c>
      <c r="G30" s="533">
        <v>40</v>
      </c>
      <c r="H30" s="574">
        <f t="shared" si="3"/>
        <v>1.35</v>
      </c>
      <c r="I30" s="134">
        <f t="shared" si="0"/>
        <v>850.5</v>
      </c>
      <c r="J30" s="549">
        <v>630</v>
      </c>
      <c r="K30" s="134">
        <f t="shared" si="9"/>
        <v>11128.653096218999</v>
      </c>
      <c r="L30" s="412">
        <v>9700</v>
      </c>
      <c r="M30" s="471"/>
      <c r="N30" s="525" t="s">
        <v>391</v>
      </c>
      <c r="O30" s="526"/>
      <c r="P30" s="527"/>
      <c r="Q30" s="346"/>
      <c r="R30" s="346">
        <f>SUM(R23:R29)</f>
        <v>512279600</v>
      </c>
    </row>
    <row r="31" spans="1:18" ht="16.5" customHeight="1">
      <c r="A31" s="790">
        <f t="shared" si="4"/>
        <v>26</v>
      </c>
      <c r="B31" s="161" t="s">
        <v>660</v>
      </c>
      <c r="C31" s="474">
        <v>42574</v>
      </c>
      <c r="D31" s="475" t="s">
        <v>708</v>
      </c>
      <c r="E31" s="534">
        <v>45</v>
      </c>
      <c r="F31" s="533">
        <v>37</v>
      </c>
      <c r="G31" s="533">
        <v>27.5</v>
      </c>
      <c r="H31" s="574">
        <f>IF(G31&lt;&gt;"",ROUND(((E31+F31)*2+5)*(F31+G31+3)/10000,2),ROUND(E31*F31/10000,2))</f>
        <v>1.1399999999999999</v>
      </c>
      <c r="I31" s="134">
        <f t="shared" si="0"/>
        <v>401.28</v>
      </c>
      <c r="J31" s="549">
        <v>352</v>
      </c>
      <c r="K31" s="134">
        <f t="shared" si="9"/>
        <v>9397.5292812515981</v>
      </c>
      <c r="L31" s="412">
        <v>13700</v>
      </c>
      <c r="M31" s="471"/>
      <c r="N31" s="278"/>
      <c r="O31" s="480"/>
      <c r="P31" s="496"/>
      <c r="Q31" s="470"/>
      <c r="R31" s="482"/>
    </row>
    <row r="32" spans="1:18" ht="16.5" customHeight="1">
      <c r="A32" s="790">
        <f t="shared" si="4"/>
        <v>27</v>
      </c>
      <c r="B32" s="161" t="s">
        <v>511</v>
      </c>
      <c r="C32" s="474">
        <v>42574</v>
      </c>
      <c r="D32" s="475" t="s">
        <v>709</v>
      </c>
      <c r="E32" s="534">
        <v>48</v>
      </c>
      <c r="F32" s="533">
        <v>40</v>
      </c>
      <c r="G32" s="533">
        <v>18</v>
      </c>
      <c r="H32" s="574">
        <f t="shared" si="3"/>
        <v>1.1000000000000001</v>
      </c>
      <c r="I32" s="134">
        <f t="shared" si="0"/>
        <v>385.00000000000006</v>
      </c>
      <c r="J32" s="549">
        <v>350</v>
      </c>
      <c r="K32" s="134">
        <f t="shared" si="9"/>
        <v>9067.7914117340006</v>
      </c>
      <c r="L32" s="412">
        <v>13600</v>
      </c>
      <c r="M32" s="471"/>
      <c r="N32" s="278"/>
      <c r="O32" s="480"/>
      <c r="P32" s="496"/>
      <c r="Q32" s="470"/>
      <c r="R32" s="482"/>
    </row>
    <row r="33" spans="1:18" ht="16.5" customHeight="1">
      <c r="A33" s="790">
        <f t="shared" si="4"/>
        <v>28</v>
      </c>
      <c r="B33" s="161" t="s">
        <v>512</v>
      </c>
      <c r="C33" s="474">
        <v>42577</v>
      </c>
      <c r="D33" s="475" t="s">
        <v>710</v>
      </c>
      <c r="E33" s="534">
        <v>39.5</v>
      </c>
      <c r="F33" s="533">
        <v>26.5</v>
      </c>
      <c r="G33" s="533">
        <v>29.5</v>
      </c>
      <c r="H33" s="574">
        <f t="shared" si="3"/>
        <v>0.81</v>
      </c>
      <c r="I33" s="134">
        <f t="shared" si="0"/>
        <v>383.13000000000005</v>
      </c>
      <c r="J33" s="549">
        <v>473</v>
      </c>
      <c r="K33" s="134">
        <f t="shared" si="9"/>
        <v>6677.1918577314</v>
      </c>
      <c r="L33" s="412">
        <v>13000</v>
      </c>
      <c r="M33" s="471"/>
      <c r="N33" s="938" t="s">
        <v>392</v>
      </c>
      <c r="O33" s="939"/>
      <c r="P33" s="939"/>
      <c r="Q33" s="940"/>
      <c r="R33" s="530">
        <f>R30/I126</f>
        <v>8243.4467379399994</v>
      </c>
    </row>
    <row r="34" spans="1:18" ht="16.5" customHeight="1">
      <c r="A34" s="790">
        <f t="shared" si="4"/>
        <v>29</v>
      </c>
      <c r="B34" s="161" t="s">
        <v>513</v>
      </c>
      <c r="C34" s="474">
        <v>42580</v>
      </c>
      <c r="D34" s="475" t="s">
        <v>711</v>
      </c>
      <c r="E34" s="534">
        <v>49</v>
      </c>
      <c r="F34" s="533">
        <v>38</v>
      </c>
      <c r="G34" s="533">
        <v>12</v>
      </c>
      <c r="H34" s="574">
        <f t="shared" si="3"/>
        <v>0.95</v>
      </c>
      <c r="I34" s="134">
        <f t="shared" si="0"/>
        <v>286.89999999999998</v>
      </c>
      <c r="J34" s="549">
        <v>302</v>
      </c>
      <c r="K34" s="134">
        <f t="shared" si="9"/>
        <v>7831.2744010429988</v>
      </c>
      <c r="L34" s="412">
        <v>10500</v>
      </c>
      <c r="M34" s="471"/>
      <c r="N34" s="278"/>
      <c r="O34" s="480"/>
      <c r="P34" s="496"/>
      <c r="Q34" s="470"/>
      <c r="R34" s="482"/>
    </row>
    <row r="35" spans="1:18" ht="16.5" customHeight="1">
      <c r="A35" s="790">
        <f t="shared" si="4"/>
        <v>30</v>
      </c>
      <c r="B35" s="161" t="s">
        <v>514</v>
      </c>
      <c r="C35" s="474">
        <v>42580</v>
      </c>
      <c r="D35" s="475" t="s">
        <v>711</v>
      </c>
      <c r="E35" s="534">
        <v>49</v>
      </c>
      <c r="F35" s="533">
        <v>38</v>
      </c>
      <c r="G35" s="533">
        <v>13</v>
      </c>
      <c r="H35" s="574">
        <f t="shared" si="3"/>
        <v>0.97</v>
      </c>
      <c r="I35" s="134">
        <f t="shared" si="0"/>
        <v>511.19</v>
      </c>
      <c r="J35" s="549">
        <v>527</v>
      </c>
      <c r="K35" s="134">
        <f t="shared" si="9"/>
        <v>7996.1433358017994</v>
      </c>
      <c r="L35" s="412">
        <v>10500</v>
      </c>
      <c r="M35" s="471"/>
      <c r="N35" s="278"/>
      <c r="O35" s="480"/>
      <c r="P35" s="496"/>
      <c r="Q35" s="470"/>
      <c r="R35" s="482"/>
    </row>
    <row r="36" spans="1:18" ht="16.5" customHeight="1">
      <c r="A36" s="790">
        <f t="shared" si="4"/>
        <v>31</v>
      </c>
      <c r="B36" s="161" t="s">
        <v>647</v>
      </c>
      <c r="C36" s="474">
        <v>42580</v>
      </c>
      <c r="D36" s="475" t="s">
        <v>712</v>
      </c>
      <c r="E36" s="534">
        <v>42</v>
      </c>
      <c r="F36" s="533">
        <v>41</v>
      </c>
      <c r="G36" s="533">
        <v>34</v>
      </c>
      <c r="H36" s="574">
        <f t="shared" si="3"/>
        <v>1.33</v>
      </c>
      <c r="I36" s="134">
        <f t="shared" si="0"/>
        <v>133</v>
      </c>
      <c r="J36" s="549">
        <v>100</v>
      </c>
      <c r="K36" s="134">
        <f t="shared" si="9"/>
        <v>10963.7841614602</v>
      </c>
      <c r="L36" s="412">
        <v>19700</v>
      </c>
      <c r="M36" s="471"/>
      <c r="N36" s="278"/>
      <c r="O36" s="480"/>
      <c r="P36" s="496"/>
      <c r="Q36" s="470"/>
      <c r="R36" s="482"/>
    </row>
    <row r="37" spans="1:18" ht="16.5" customHeight="1">
      <c r="A37" s="790">
        <f t="shared" si="4"/>
        <v>32</v>
      </c>
      <c r="B37" s="161" t="s">
        <v>817</v>
      </c>
      <c r="C37" s="474">
        <v>42580</v>
      </c>
      <c r="D37" s="475" t="s">
        <v>712</v>
      </c>
      <c r="E37" s="534">
        <v>63</v>
      </c>
      <c r="F37" s="533">
        <v>53</v>
      </c>
      <c r="G37" s="533">
        <v>32</v>
      </c>
      <c r="H37" s="574">
        <f t="shared" si="3"/>
        <v>2.09</v>
      </c>
      <c r="I37" s="134">
        <f t="shared" si="0"/>
        <v>209</v>
      </c>
      <c r="J37" s="549">
        <v>100</v>
      </c>
      <c r="K37" s="134">
        <f t="shared" si="9"/>
        <v>17228.803682294598</v>
      </c>
      <c r="L37" s="412">
        <v>20100</v>
      </c>
      <c r="M37" s="471"/>
      <c r="N37" s="278"/>
      <c r="O37" s="480"/>
      <c r="P37" s="496"/>
      <c r="Q37" s="470"/>
      <c r="R37" s="482"/>
    </row>
    <row r="38" spans="1:18" ht="16.5" customHeight="1">
      <c r="A38" s="790">
        <f t="shared" si="4"/>
        <v>33</v>
      </c>
      <c r="B38" s="161" t="s">
        <v>508</v>
      </c>
      <c r="C38" s="474">
        <v>42583</v>
      </c>
      <c r="D38" s="475" t="s">
        <v>713</v>
      </c>
      <c r="E38" s="534">
        <v>37.5</v>
      </c>
      <c r="F38" s="533">
        <v>25.5</v>
      </c>
      <c r="G38" s="533">
        <v>23.9</v>
      </c>
      <c r="H38" s="574">
        <f t="shared" si="3"/>
        <v>0.69</v>
      </c>
      <c r="I38" s="134">
        <f t="shared" ref="I38:I69" si="10">H38*J38</f>
        <v>345</v>
      </c>
      <c r="J38" s="549">
        <v>500</v>
      </c>
      <c r="K38" s="134">
        <f t="shared" si="9"/>
        <v>5687.9782491785991</v>
      </c>
      <c r="L38" s="412">
        <v>5900</v>
      </c>
      <c r="M38" s="471"/>
      <c r="N38" s="278"/>
      <c r="O38" s="480"/>
      <c r="P38" s="496"/>
      <c r="Q38" s="470"/>
      <c r="R38" s="482"/>
    </row>
    <row r="39" spans="1:18" ht="16.5" customHeight="1">
      <c r="A39" s="790">
        <f t="shared" si="4"/>
        <v>34</v>
      </c>
      <c r="B39" s="161" t="s">
        <v>515</v>
      </c>
      <c r="C39" s="474">
        <v>42584</v>
      </c>
      <c r="D39" s="475" t="s">
        <v>714</v>
      </c>
      <c r="E39" s="534">
        <v>42</v>
      </c>
      <c r="F39" s="533">
        <v>24</v>
      </c>
      <c r="G39" s="533">
        <v>25</v>
      </c>
      <c r="H39" s="574">
        <f t="shared" si="3"/>
        <v>0.71</v>
      </c>
      <c r="I39" s="134">
        <f t="shared" si="10"/>
        <v>430.26</v>
      </c>
      <c r="J39" s="549">
        <v>606</v>
      </c>
      <c r="K39" s="134">
        <f t="shared" si="9"/>
        <v>5852.8471839373997</v>
      </c>
      <c r="L39" s="412">
        <v>6000</v>
      </c>
      <c r="M39" s="471"/>
      <c r="N39" s="278"/>
      <c r="O39" s="480"/>
      <c r="P39" s="496"/>
      <c r="Q39" s="470"/>
      <c r="R39" s="482"/>
    </row>
    <row r="40" spans="1:18" ht="16.5" customHeight="1">
      <c r="A40" s="790">
        <f t="shared" si="4"/>
        <v>35</v>
      </c>
      <c r="B40" s="161" t="s">
        <v>516</v>
      </c>
      <c r="C40" s="474">
        <v>42584</v>
      </c>
      <c r="D40" s="475" t="s">
        <v>714</v>
      </c>
      <c r="E40" s="534">
        <v>50</v>
      </c>
      <c r="F40" s="533">
        <v>37</v>
      </c>
      <c r="G40" s="533">
        <v>21</v>
      </c>
      <c r="H40" s="574">
        <f t="shared" si="3"/>
        <v>1.0900000000000001</v>
      </c>
      <c r="I40" s="134">
        <f t="shared" si="10"/>
        <v>440.36</v>
      </c>
      <c r="J40" s="549">
        <v>404</v>
      </c>
      <c r="K40" s="134">
        <f t="shared" si="9"/>
        <v>8985.3569443546003</v>
      </c>
      <c r="L40" s="412">
        <v>8600</v>
      </c>
      <c r="M40" s="471"/>
      <c r="N40" s="278"/>
      <c r="O40" s="480"/>
      <c r="P40" s="496"/>
      <c r="Q40" s="470"/>
      <c r="R40" s="482"/>
    </row>
    <row r="41" spans="1:18" ht="16.5" customHeight="1">
      <c r="A41" s="790">
        <f t="shared" si="4"/>
        <v>36</v>
      </c>
      <c r="B41" s="161" t="s">
        <v>517</v>
      </c>
      <c r="C41" s="474">
        <v>42584</v>
      </c>
      <c r="D41" s="475" t="s">
        <v>714</v>
      </c>
      <c r="E41" s="534">
        <v>45</v>
      </c>
      <c r="F41" s="533">
        <v>33</v>
      </c>
      <c r="G41" s="533">
        <v>46</v>
      </c>
      <c r="H41" s="574">
        <f t="shared" si="3"/>
        <v>1.32</v>
      </c>
      <c r="I41" s="134">
        <f t="shared" si="10"/>
        <v>401.28000000000003</v>
      </c>
      <c r="J41" s="549">
        <v>304</v>
      </c>
      <c r="K41" s="134">
        <f t="shared" si="9"/>
        <v>10881.3496940808</v>
      </c>
      <c r="L41" s="412">
        <v>14200</v>
      </c>
      <c r="M41" s="471"/>
      <c r="N41" s="278"/>
      <c r="O41" s="480"/>
      <c r="P41" s="496"/>
      <c r="Q41" s="470"/>
      <c r="R41" s="482"/>
    </row>
    <row r="42" spans="1:18" ht="17.25" customHeight="1">
      <c r="A42" s="790">
        <f t="shared" si="4"/>
        <v>37</v>
      </c>
      <c r="B42" s="161" t="s">
        <v>518</v>
      </c>
      <c r="C42" s="474">
        <v>42584</v>
      </c>
      <c r="D42" s="475" t="s">
        <v>715</v>
      </c>
      <c r="E42" s="534">
        <v>52</v>
      </c>
      <c r="F42" s="533">
        <v>24.5</v>
      </c>
      <c r="G42" s="533">
        <v>24.5</v>
      </c>
      <c r="H42" s="574">
        <f t="shared" si="3"/>
        <v>0.82</v>
      </c>
      <c r="I42" s="134">
        <f t="shared" si="10"/>
        <v>1094.7</v>
      </c>
      <c r="J42" s="549">
        <v>1335</v>
      </c>
      <c r="K42" s="134">
        <f t="shared" si="9"/>
        <v>6759.6263251107994</v>
      </c>
      <c r="L42" s="412">
        <v>5000</v>
      </c>
      <c r="M42" s="471"/>
      <c r="N42" s="278"/>
      <c r="O42" s="480"/>
      <c r="P42" s="496"/>
      <c r="Q42" s="470"/>
      <c r="R42" s="482"/>
    </row>
    <row r="43" spans="1:18" ht="17.25" customHeight="1">
      <c r="A43" s="790">
        <f t="shared" si="4"/>
        <v>38</v>
      </c>
      <c r="B43" s="161" t="s">
        <v>519</v>
      </c>
      <c r="C43" s="474">
        <v>42584</v>
      </c>
      <c r="D43" s="475" t="s">
        <v>715</v>
      </c>
      <c r="E43" s="534">
        <v>22.5</v>
      </c>
      <c r="F43" s="533">
        <v>22.5</v>
      </c>
      <c r="G43" s="533">
        <v>52</v>
      </c>
      <c r="H43" s="574">
        <f t="shared" si="3"/>
        <v>0.74</v>
      </c>
      <c r="I43" s="134">
        <f t="shared" si="10"/>
        <v>223.48</v>
      </c>
      <c r="J43" s="549">
        <v>302</v>
      </c>
      <c r="K43" s="134">
        <f t="shared" si="9"/>
        <v>6100.1505860755997</v>
      </c>
      <c r="L43" s="412">
        <v>5100</v>
      </c>
      <c r="M43" s="471"/>
      <c r="N43" s="278"/>
      <c r="O43" s="480"/>
      <c r="P43" s="496"/>
      <c r="Q43" s="470"/>
      <c r="R43" s="482"/>
    </row>
    <row r="44" spans="1:18" ht="17.25" customHeight="1">
      <c r="A44" s="790">
        <f t="shared" si="4"/>
        <v>39</v>
      </c>
      <c r="B44" s="161" t="s">
        <v>520</v>
      </c>
      <c r="C44" s="474">
        <v>42584</v>
      </c>
      <c r="D44" s="475" t="s">
        <v>715</v>
      </c>
      <c r="E44" s="534">
        <v>55</v>
      </c>
      <c r="F44" s="533">
        <v>45</v>
      </c>
      <c r="G44" s="533">
        <v>29</v>
      </c>
      <c r="H44" s="574">
        <f t="shared" si="3"/>
        <v>1.58</v>
      </c>
      <c r="I44" s="134">
        <f t="shared" si="10"/>
        <v>663.6</v>
      </c>
      <c r="J44" s="549">
        <v>420</v>
      </c>
      <c r="K44" s="134">
        <f t="shared" si="9"/>
        <v>13024.645845945199</v>
      </c>
      <c r="L44" s="412">
        <v>9700</v>
      </c>
      <c r="M44" s="471"/>
      <c r="N44" s="455"/>
      <c r="O44" s="455"/>
      <c r="P44" s="455"/>
      <c r="Q44" s="455"/>
      <c r="R44" s="455"/>
    </row>
    <row r="45" spans="1:18" ht="17.25" customHeight="1">
      <c r="A45" s="790">
        <f t="shared" si="4"/>
        <v>40</v>
      </c>
      <c r="B45" s="161" t="s">
        <v>521</v>
      </c>
      <c r="C45" s="474">
        <v>42585</v>
      </c>
      <c r="D45" s="475" t="s">
        <v>716</v>
      </c>
      <c r="E45" s="534">
        <v>49</v>
      </c>
      <c r="F45" s="533">
        <v>38</v>
      </c>
      <c r="G45" s="533">
        <v>12.5</v>
      </c>
      <c r="H45" s="574">
        <f t="shared" si="3"/>
        <v>0.96</v>
      </c>
      <c r="I45" s="134">
        <f t="shared" si="10"/>
        <v>409.91999999999996</v>
      </c>
      <c r="J45" s="549">
        <v>427</v>
      </c>
      <c r="K45" s="134">
        <f t="shared" si="9"/>
        <v>7913.7088684223991</v>
      </c>
      <c r="L45" s="412">
        <v>10200</v>
      </c>
      <c r="M45" s="471"/>
      <c r="N45" s="455"/>
      <c r="O45" s="455"/>
      <c r="P45" s="455"/>
      <c r="Q45" s="455"/>
      <c r="R45" s="455"/>
    </row>
    <row r="46" spans="1:18" ht="17.25" customHeight="1">
      <c r="A46" s="790">
        <f t="shared" si="4"/>
        <v>41</v>
      </c>
      <c r="B46" s="161" t="s">
        <v>536</v>
      </c>
      <c r="C46" s="474">
        <v>42588</v>
      </c>
      <c r="D46" s="475" t="s">
        <v>717</v>
      </c>
      <c r="E46" s="534">
        <v>43</v>
      </c>
      <c r="F46" s="533">
        <v>27.5</v>
      </c>
      <c r="G46" s="533">
        <v>23</v>
      </c>
      <c r="H46" s="574">
        <f t="shared" si="3"/>
        <v>0.78</v>
      </c>
      <c r="I46" s="134">
        <f t="shared" si="10"/>
        <v>84.240000000000009</v>
      </c>
      <c r="J46" s="549">
        <v>108</v>
      </c>
      <c r="K46" s="134">
        <f t="shared" si="9"/>
        <v>6429.8884555932</v>
      </c>
      <c r="L46" s="412">
        <v>6400</v>
      </c>
      <c r="M46" s="471"/>
      <c r="N46" s="455"/>
      <c r="O46" s="455"/>
      <c r="P46" s="455"/>
      <c r="Q46" s="455"/>
      <c r="R46" s="455"/>
    </row>
    <row r="47" spans="1:18" ht="17.25" customHeight="1">
      <c r="A47" s="790">
        <f t="shared" si="4"/>
        <v>42</v>
      </c>
      <c r="B47" s="161" t="s">
        <v>662</v>
      </c>
      <c r="C47" s="474">
        <v>42588</v>
      </c>
      <c r="D47" s="475" t="s">
        <v>717</v>
      </c>
      <c r="E47" s="534">
        <v>39.5</v>
      </c>
      <c r="F47" s="533">
        <v>32.299999999999997</v>
      </c>
      <c r="G47" s="533">
        <v>27.7</v>
      </c>
      <c r="H47" s="574">
        <f t="shared" si="3"/>
        <v>0.94</v>
      </c>
      <c r="I47" s="134">
        <f t="shared" si="10"/>
        <v>96.82</v>
      </c>
      <c r="J47" s="549">
        <v>103</v>
      </c>
      <c r="K47" s="134">
        <f t="shared" si="9"/>
        <v>7748.8399336635994</v>
      </c>
      <c r="L47" s="412">
        <v>9400</v>
      </c>
      <c r="M47" s="471"/>
      <c r="N47" s="455"/>
      <c r="O47" s="455"/>
      <c r="P47" s="455"/>
      <c r="Q47" s="455"/>
      <c r="R47" s="455"/>
    </row>
    <row r="48" spans="1:18" ht="17.25" customHeight="1">
      <c r="A48" s="790">
        <f t="shared" si="4"/>
        <v>43</v>
      </c>
      <c r="B48" s="161" t="s">
        <v>522</v>
      </c>
      <c r="C48" s="474">
        <v>42591</v>
      </c>
      <c r="D48" s="475" t="s">
        <v>718</v>
      </c>
      <c r="E48" s="534">
        <v>36.5</v>
      </c>
      <c r="F48" s="533">
        <v>26.5</v>
      </c>
      <c r="G48" s="533">
        <v>26</v>
      </c>
      <c r="H48" s="574">
        <f t="shared" si="3"/>
        <v>0.73</v>
      </c>
      <c r="I48" s="134">
        <f t="shared" si="10"/>
        <v>357.7</v>
      </c>
      <c r="J48" s="549">
        <v>490</v>
      </c>
      <c r="K48" s="134">
        <f t="shared" si="9"/>
        <v>6017.7161186961994</v>
      </c>
      <c r="L48" s="412">
        <v>11000</v>
      </c>
      <c r="M48" s="471"/>
      <c r="N48" s="455"/>
      <c r="O48" s="455"/>
      <c r="P48" s="455"/>
      <c r="Q48" s="455"/>
      <c r="R48" s="455"/>
    </row>
    <row r="49" spans="1:18" ht="17.25" customHeight="1">
      <c r="A49" s="790">
        <f t="shared" si="4"/>
        <v>44</v>
      </c>
      <c r="B49" s="161" t="s">
        <v>524</v>
      </c>
      <c r="C49" s="474">
        <v>42592</v>
      </c>
      <c r="D49" s="475" t="s">
        <v>719</v>
      </c>
      <c r="E49" s="534">
        <v>62</v>
      </c>
      <c r="F49" s="533">
        <v>42.5</v>
      </c>
      <c r="G49" s="533">
        <v>42.5</v>
      </c>
      <c r="H49" s="574">
        <f t="shared" si="3"/>
        <v>1.88</v>
      </c>
      <c r="I49" s="134">
        <f t="shared" si="10"/>
        <v>757.64</v>
      </c>
      <c r="J49" s="549">
        <v>403</v>
      </c>
      <c r="K49" s="134">
        <f t="shared" si="9"/>
        <v>15497.679867327199</v>
      </c>
      <c r="L49" s="412">
        <v>20000</v>
      </c>
      <c r="M49" s="471"/>
      <c r="N49" s="455"/>
      <c r="O49" s="455"/>
      <c r="P49" s="455"/>
      <c r="Q49" s="455"/>
      <c r="R49" s="455"/>
    </row>
    <row r="50" spans="1:18" ht="17.25" customHeight="1">
      <c r="A50" s="790">
        <f t="shared" si="4"/>
        <v>45</v>
      </c>
      <c r="B50" s="161" t="s">
        <v>645</v>
      </c>
      <c r="C50" s="474">
        <v>42592</v>
      </c>
      <c r="D50" s="475" t="s">
        <v>720</v>
      </c>
      <c r="E50" s="534">
        <v>49</v>
      </c>
      <c r="F50" s="533">
        <v>47</v>
      </c>
      <c r="G50" s="533">
        <v>27</v>
      </c>
      <c r="H50" s="574">
        <f t="shared" si="3"/>
        <v>1.52</v>
      </c>
      <c r="I50" s="134">
        <f t="shared" si="10"/>
        <v>45.6</v>
      </c>
      <c r="J50" s="549">
        <v>30</v>
      </c>
      <c r="K50" s="134">
        <f t="shared" si="9"/>
        <v>12530.039041668799</v>
      </c>
      <c r="L50" s="412">
        <v>14200</v>
      </c>
      <c r="M50" s="471"/>
      <c r="N50" s="455"/>
      <c r="O50" s="455"/>
      <c r="P50" s="455"/>
      <c r="Q50" s="455"/>
      <c r="R50" s="455"/>
    </row>
    <row r="51" spans="1:18" ht="17.25" customHeight="1">
      <c r="A51" s="790">
        <f t="shared" si="4"/>
        <v>46</v>
      </c>
      <c r="B51" s="161" t="s">
        <v>648</v>
      </c>
      <c r="C51" s="474">
        <v>42592</v>
      </c>
      <c r="D51" s="475" t="s">
        <v>720</v>
      </c>
      <c r="E51" s="534">
        <v>38</v>
      </c>
      <c r="F51" s="533">
        <v>37</v>
      </c>
      <c r="G51" s="533">
        <v>30</v>
      </c>
      <c r="H51" s="574">
        <f t="shared" si="3"/>
        <v>1.0900000000000001</v>
      </c>
      <c r="I51" s="134">
        <f t="shared" si="10"/>
        <v>32.700000000000003</v>
      </c>
      <c r="J51" s="549">
        <v>30</v>
      </c>
      <c r="K51" s="134">
        <f t="shared" si="9"/>
        <v>8985.3569443546003</v>
      </c>
      <c r="L51" s="412">
        <v>15300</v>
      </c>
      <c r="M51" s="471"/>
      <c r="N51" s="455"/>
      <c r="O51" s="455"/>
      <c r="P51" s="455"/>
      <c r="Q51" s="455"/>
      <c r="R51" s="455"/>
    </row>
    <row r="52" spans="1:18" ht="17.25" customHeight="1">
      <c r="A52" s="790">
        <f t="shared" si="4"/>
        <v>47</v>
      </c>
      <c r="B52" s="161" t="s">
        <v>646</v>
      </c>
      <c r="C52" s="474">
        <v>42592</v>
      </c>
      <c r="D52" s="475" t="s">
        <v>720</v>
      </c>
      <c r="E52" s="534">
        <v>40</v>
      </c>
      <c r="F52" s="533">
        <v>39</v>
      </c>
      <c r="G52" s="533">
        <v>32</v>
      </c>
      <c r="H52" s="574">
        <f t="shared" si="3"/>
        <v>1.21</v>
      </c>
      <c r="I52" s="134">
        <f t="shared" si="10"/>
        <v>36.299999999999997</v>
      </c>
      <c r="J52" s="549">
        <v>30</v>
      </c>
      <c r="K52" s="134">
        <f t="shared" si="9"/>
        <v>9974.5705529073985</v>
      </c>
      <c r="L52" s="412">
        <v>16500</v>
      </c>
      <c r="M52" s="471"/>
      <c r="N52" s="455"/>
      <c r="O52" s="455"/>
      <c r="P52" s="455"/>
      <c r="Q52" s="455"/>
      <c r="R52" s="455"/>
    </row>
    <row r="53" spans="1:18" ht="17.25" customHeight="1">
      <c r="A53" s="790">
        <f t="shared" si="4"/>
        <v>48</v>
      </c>
      <c r="B53" s="161" t="s">
        <v>647</v>
      </c>
      <c r="C53" s="474">
        <v>42592</v>
      </c>
      <c r="D53" s="475" t="s">
        <v>720</v>
      </c>
      <c r="E53" s="534">
        <v>42</v>
      </c>
      <c r="F53" s="533">
        <v>41</v>
      </c>
      <c r="G53" s="533">
        <v>34</v>
      </c>
      <c r="H53" s="574">
        <f t="shared" si="3"/>
        <v>1.33</v>
      </c>
      <c r="I53" s="134">
        <f t="shared" si="10"/>
        <v>133</v>
      </c>
      <c r="J53" s="549">
        <v>100</v>
      </c>
      <c r="K53" s="134">
        <f t="shared" si="9"/>
        <v>10963.7841614602</v>
      </c>
      <c r="L53" s="412">
        <v>19700</v>
      </c>
      <c r="M53" s="471"/>
      <c r="N53" s="455"/>
      <c r="O53" s="455"/>
      <c r="P53" s="455"/>
      <c r="Q53" s="455"/>
      <c r="R53" s="455"/>
    </row>
    <row r="54" spans="1:18" ht="17.25" customHeight="1">
      <c r="A54" s="790">
        <f t="shared" si="4"/>
        <v>49</v>
      </c>
      <c r="B54" s="161" t="s">
        <v>817</v>
      </c>
      <c r="C54" s="474">
        <v>42592</v>
      </c>
      <c r="D54" s="475" t="s">
        <v>720</v>
      </c>
      <c r="E54" s="534">
        <v>63</v>
      </c>
      <c r="F54" s="533">
        <v>53</v>
      </c>
      <c r="G54" s="533">
        <v>32</v>
      </c>
      <c r="H54" s="574">
        <f t="shared" si="3"/>
        <v>2.09</v>
      </c>
      <c r="I54" s="134">
        <f t="shared" si="10"/>
        <v>125.39999999999999</v>
      </c>
      <c r="J54" s="549">
        <v>60</v>
      </c>
      <c r="K54" s="134">
        <f t="shared" ref="K54:K85" si="11">H54*$R$33</f>
        <v>17228.803682294598</v>
      </c>
      <c r="L54" s="412">
        <v>20100</v>
      </c>
      <c r="M54" s="471"/>
      <c r="N54" s="455"/>
      <c r="O54" s="455"/>
      <c r="P54" s="455"/>
      <c r="Q54" s="455"/>
      <c r="R54" s="455"/>
    </row>
    <row r="55" spans="1:18" ht="17.25" customHeight="1">
      <c r="A55" s="790">
        <f t="shared" si="4"/>
        <v>50</v>
      </c>
      <c r="B55" s="161" t="s">
        <v>524</v>
      </c>
      <c r="C55" s="474">
        <v>42592</v>
      </c>
      <c r="D55" s="475" t="s">
        <v>721</v>
      </c>
      <c r="E55" s="534">
        <v>62</v>
      </c>
      <c r="F55" s="533">
        <v>42.5</v>
      </c>
      <c r="G55" s="533">
        <v>42.5</v>
      </c>
      <c r="H55" s="574">
        <f t="shared" si="3"/>
        <v>1.88</v>
      </c>
      <c r="I55" s="134">
        <f t="shared" si="10"/>
        <v>757.64</v>
      </c>
      <c r="J55" s="549">
        <v>403</v>
      </c>
      <c r="K55" s="134">
        <f t="shared" si="11"/>
        <v>15497.679867327199</v>
      </c>
      <c r="L55" s="412">
        <v>20000</v>
      </c>
      <c r="M55" s="471"/>
      <c r="N55" s="455"/>
      <c r="O55" s="455"/>
      <c r="P55" s="455"/>
      <c r="Q55" s="455"/>
      <c r="R55" s="455"/>
    </row>
    <row r="56" spans="1:18" ht="17.25" customHeight="1">
      <c r="A56" s="790">
        <f t="shared" si="4"/>
        <v>51</v>
      </c>
      <c r="B56" s="161" t="s">
        <v>655</v>
      </c>
      <c r="C56" s="474">
        <v>42594</v>
      </c>
      <c r="D56" s="475" t="s">
        <v>722</v>
      </c>
      <c r="E56" s="534">
        <v>47</v>
      </c>
      <c r="F56" s="533">
        <v>42</v>
      </c>
      <c r="G56" s="533">
        <v>24.5</v>
      </c>
      <c r="H56" s="574">
        <f t="shared" si="3"/>
        <v>1.27</v>
      </c>
      <c r="I56" s="134">
        <f t="shared" si="10"/>
        <v>1689.1000000000001</v>
      </c>
      <c r="J56" s="549">
        <v>1330</v>
      </c>
      <c r="K56" s="134">
        <f t="shared" si="11"/>
        <v>10469.177357183798</v>
      </c>
      <c r="L56" s="412">
        <v>9360</v>
      </c>
      <c r="M56" s="471"/>
      <c r="N56" s="455"/>
      <c r="O56" s="455"/>
      <c r="P56" s="455"/>
      <c r="Q56" s="455"/>
      <c r="R56" s="455"/>
    </row>
    <row r="57" spans="1:18" ht="17.25" customHeight="1">
      <c r="A57" s="790">
        <f t="shared" si="4"/>
        <v>52</v>
      </c>
      <c r="B57" s="161" t="s">
        <v>655</v>
      </c>
      <c r="C57" s="474">
        <v>42594</v>
      </c>
      <c r="D57" s="475" t="s">
        <v>722</v>
      </c>
      <c r="E57" s="534">
        <v>47</v>
      </c>
      <c r="F57" s="533">
        <v>42</v>
      </c>
      <c r="G57" s="533">
        <v>24.5</v>
      </c>
      <c r="H57" s="574">
        <f t="shared" si="3"/>
        <v>1.27</v>
      </c>
      <c r="I57" s="134">
        <f t="shared" si="10"/>
        <v>101.6</v>
      </c>
      <c r="J57" s="549">
        <v>80</v>
      </c>
      <c r="K57" s="134">
        <f t="shared" si="11"/>
        <v>10469.177357183798</v>
      </c>
      <c r="L57" s="412">
        <v>9200</v>
      </c>
      <c r="M57" s="471"/>
      <c r="N57" s="455"/>
      <c r="O57" s="455"/>
      <c r="P57" s="455"/>
      <c r="Q57" s="455"/>
      <c r="R57" s="455"/>
    </row>
    <row r="58" spans="1:18" ht="17.25" customHeight="1">
      <c r="A58" s="790">
        <f t="shared" si="4"/>
        <v>53</v>
      </c>
      <c r="B58" s="161" t="s">
        <v>656</v>
      </c>
      <c r="C58" s="474">
        <v>42594</v>
      </c>
      <c r="D58" s="475" t="s">
        <v>722</v>
      </c>
      <c r="E58" s="534">
        <v>46</v>
      </c>
      <c r="F58" s="533">
        <v>42</v>
      </c>
      <c r="G58" s="533">
        <v>26</v>
      </c>
      <c r="H58" s="574">
        <f t="shared" si="3"/>
        <v>1.29</v>
      </c>
      <c r="I58" s="134">
        <f t="shared" si="10"/>
        <v>45.15</v>
      </c>
      <c r="J58" s="549">
        <v>35</v>
      </c>
      <c r="K58" s="134">
        <f t="shared" si="11"/>
        <v>10634.046291942599</v>
      </c>
      <c r="L58" s="412">
        <v>9300</v>
      </c>
      <c r="M58" s="471"/>
      <c r="N58" s="455"/>
      <c r="O58" s="455"/>
      <c r="P58" s="455"/>
      <c r="Q58" s="455"/>
      <c r="R58" s="455"/>
    </row>
    <row r="59" spans="1:18" ht="17.25" customHeight="1">
      <c r="A59" s="790">
        <f t="shared" si="4"/>
        <v>54</v>
      </c>
      <c r="B59" s="161" t="s">
        <v>657</v>
      </c>
      <c r="C59" s="474">
        <v>42594</v>
      </c>
      <c r="D59" s="475" t="s">
        <v>722</v>
      </c>
      <c r="E59" s="534">
        <v>47</v>
      </c>
      <c r="F59" s="533">
        <v>42</v>
      </c>
      <c r="G59" s="533">
        <v>13</v>
      </c>
      <c r="H59" s="574">
        <f t="shared" si="3"/>
        <v>1.06</v>
      </c>
      <c r="I59" s="134">
        <f t="shared" si="10"/>
        <v>95.4</v>
      </c>
      <c r="J59" s="549">
        <v>90</v>
      </c>
      <c r="K59" s="134">
        <f t="shared" si="11"/>
        <v>8738.0535422163994</v>
      </c>
      <c r="L59" s="412">
        <v>7500</v>
      </c>
      <c r="M59" s="471"/>
      <c r="N59" s="455"/>
      <c r="O59" s="455"/>
      <c r="P59" s="455"/>
      <c r="Q59" s="455"/>
      <c r="R59" s="455"/>
    </row>
    <row r="60" spans="1:18" ht="17.25" customHeight="1">
      <c r="A60" s="790">
        <f t="shared" si="4"/>
        <v>55</v>
      </c>
      <c r="B60" s="161" t="s">
        <v>658</v>
      </c>
      <c r="C60" s="474">
        <v>42594</v>
      </c>
      <c r="D60" s="475" t="s">
        <v>722</v>
      </c>
      <c r="E60" s="534">
        <v>39</v>
      </c>
      <c r="F60" s="533">
        <v>29</v>
      </c>
      <c r="G60" s="533">
        <v>27</v>
      </c>
      <c r="H60" s="574">
        <f t="shared" si="3"/>
        <v>0.83</v>
      </c>
      <c r="I60" s="134">
        <f t="shared" si="10"/>
        <v>539.5</v>
      </c>
      <c r="J60" s="549">
        <v>650</v>
      </c>
      <c r="K60" s="134">
        <f t="shared" si="11"/>
        <v>6842.0607924901988</v>
      </c>
      <c r="L60" s="412">
        <v>6200</v>
      </c>
      <c r="M60" s="471"/>
      <c r="N60" s="455"/>
      <c r="O60" s="455"/>
      <c r="P60" s="455"/>
      <c r="Q60" s="455"/>
      <c r="R60" s="455"/>
    </row>
    <row r="61" spans="1:18" ht="17.25" customHeight="1">
      <c r="A61" s="790">
        <f t="shared" si="4"/>
        <v>56</v>
      </c>
      <c r="B61" s="161" t="s">
        <v>659</v>
      </c>
      <c r="C61" s="474">
        <v>42594</v>
      </c>
      <c r="D61" s="475" t="s">
        <v>722</v>
      </c>
      <c r="E61" s="534">
        <v>47</v>
      </c>
      <c r="F61" s="533">
        <v>42</v>
      </c>
      <c r="G61" s="533">
        <v>27</v>
      </c>
      <c r="H61" s="574">
        <f t="shared" si="3"/>
        <v>1.32</v>
      </c>
      <c r="I61" s="134">
        <f t="shared" si="10"/>
        <v>277.2</v>
      </c>
      <c r="J61" s="549">
        <v>210</v>
      </c>
      <c r="K61" s="134">
        <f t="shared" si="11"/>
        <v>10881.3496940808</v>
      </c>
      <c r="L61" s="412">
        <v>9500</v>
      </c>
      <c r="M61" s="471"/>
      <c r="N61" s="455"/>
      <c r="O61" s="455"/>
      <c r="P61" s="455"/>
      <c r="Q61" s="455"/>
      <c r="R61" s="455"/>
    </row>
    <row r="62" spans="1:18" ht="17.25" customHeight="1">
      <c r="A62" s="790">
        <f t="shared" si="4"/>
        <v>57</v>
      </c>
      <c r="B62" s="161" t="s">
        <v>525</v>
      </c>
      <c r="C62" s="474">
        <v>42597</v>
      </c>
      <c r="D62" s="475" t="s">
        <v>723</v>
      </c>
      <c r="E62" s="534">
        <v>52</v>
      </c>
      <c r="F62" s="533">
        <v>24</v>
      </c>
      <c r="G62" s="533">
        <v>24</v>
      </c>
      <c r="H62" s="574">
        <f t="shared" si="3"/>
        <v>0.8</v>
      </c>
      <c r="I62" s="134">
        <f t="shared" si="10"/>
        <v>343.20000000000005</v>
      </c>
      <c r="J62" s="549">
        <v>429</v>
      </c>
      <c r="K62" s="134">
        <f t="shared" si="11"/>
        <v>6594.7573903519997</v>
      </c>
      <c r="L62" s="412">
        <v>6000</v>
      </c>
      <c r="M62" s="471"/>
      <c r="N62" s="455"/>
      <c r="O62" s="455"/>
      <c r="P62" s="455"/>
      <c r="Q62" s="455"/>
      <c r="R62" s="455"/>
    </row>
    <row r="63" spans="1:18" ht="17.25" customHeight="1">
      <c r="A63" s="790">
        <f t="shared" si="4"/>
        <v>58</v>
      </c>
      <c r="B63" s="161" t="s">
        <v>526</v>
      </c>
      <c r="C63" s="474">
        <v>42597</v>
      </c>
      <c r="D63" s="475" t="s">
        <v>723</v>
      </c>
      <c r="E63" s="534">
        <v>52</v>
      </c>
      <c r="F63" s="533">
        <v>27</v>
      </c>
      <c r="G63" s="533">
        <v>27</v>
      </c>
      <c r="H63" s="574">
        <f t="shared" si="3"/>
        <v>0.93</v>
      </c>
      <c r="I63" s="134">
        <f t="shared" si="10"/>
        <v>344.1</v>
      </c>
      <c r="J63" s="549">
        <v>370</v>
      </c>
      <c r="K63" s="134">
        <f t="shared" si="11"/>
        <v>7666.4054662842</v>
      </c>
      <c r="L63" s="412">
        <v>6600</v>
      </c>
      <c r="M63" s="471"/>
      <c r="N63" s="455"/>
      <c r="O63" s="455"/>
      <c r="P63" s="455"/>
      <c r="Q63" s="455"/>
      <c r="R63" s="455"/>
    </row>
    <row r="64" spans="1:18" ht="17.25" customHeight="1">
      <c r="A64" s="790">
        <f t="shared" si="4"/>
        <v>59</v>
      </c>
      <c r="B64" s="161" t="s">
        <v>527</v>
      </c>
      <c r="C64" s="474">
        <v>42597</v>
      </c>
      <c r="D64" s="475" t="s">
        <v>724</v>
      </c>
      <c r="E64" s="534">
        <v>103</v>
      </c>
      <c r="F64" s="533">
        <v>50</v>
      </c>
      <c r="G64" s="533">
        <v>180</v>
      </c>
      <c r="H64" s="574">
        <f t="shared" si="3"/>
        <v>7.25</v>
      </c>
      <c r="I64" s="134">
        <f t="shared" si="10"/>
        <v>942.5</v>
      </c>
      <c r="J64" s="549">
        <v>130</v>
      </c>
      <c r="K64" s="134">
        <f t="shared" si="11"/>
        <v>59764.988850064998</v>
      </c>
      <c r="L64" s="412">
        <v>47449</v>
      </c>
      <c r="M64" s="471"/>
      <c r="N64" s="455"/>
      <c r="O64" s="455"/>
      <c r="P64" s="455"/>
      <c r="Q64" s="455"/>
      <c r="R64" s="455"/>
    </row>
    <row r="65" spans="1:18" ht="17.25" customHeight="1">
      <c r="A65" s="790">
        <f t="shared" si="4"/>
        <v>60</v>
      </c>
      <c r="B65" s="161" t="s">
        <v>528</v>
      </c>
      <c r="C65" s="474">
        <v>42599</v>
      </c>
      <c r="D65" s="475" t="s">
        <v>725</v>
      </c>
      <c r="E65" s="534">
        <v>40</v>
      </c>
      <c r="F65" s="533">
        <v>29.5</v>
      </c>
      <c r="G65" s="533">
        <v>19</v>
      </c>
      <c r="H65" s="574">
        <f t="shared" si="3"/>
        <v>0.74</v>
      </c>
      <c r="I65" s="134">
        <f t="shared" si="10"/>
        <v>228.66</v>
      </c>
      <c r="J65" s="549">
        <v>309</v>
      </c>
      <c r="K65" s="134">
        <f t="shared" si="11"/>
        <v>6100.1505860755997</v>
      </c>
      <c r="L65" s="412">
        <v>7500</v>
      </c>
      <c r="M65" s="471"/>
      <c r="N65" s="455"/>
      <c r="O65" s="455"/>
      <c r="P65" s="455"/>
      <c r="Q65" s="455"/>
      <c r="R65" s="455"/>
    </row>
    <row r="66" spans="1:18" ht="17.25" customHeight="1">
      <c r="A66" s="790">
        <f t="shared" si="4"/>
        <v>61</v>
      </c>
      <c r="B66" s="161" t="s">
        <v>529</v>
      </c>
      <c r="C66" s="474">
        <v>42599</v>
      </c>
      <c r="D66" s="475" t="s">
        <v>726</v>
      </c>
      <c r="E66" s="534">
        <v>40</v>
      </c>
      <c r="F66" s="533">
        <v>25.5</v>
      </c>
      <c r="G66" s="533">
        <v>72</v>
      </c>
      <c r="H66" s="574">
        <f t="shared" si="3"/>
        <v>1.37</v>
      </c>
      <c r="I66" s="134">
        <f t="shared" si="10"/>
        <v>26.03</v>
      </c>
      <c r="J66" s="549">
        <v>19</v>
      </c>
      <c r="K66" s="134">
        <f t="shared" si="11"/>
        <v>11293.5220309778</v>
      </c>
      <c r="L66" s="412">
        <v>10800</v>
      </c>
      <c r="M66" s="471"/>
      <c r="N66" s="455"/>
      <c r="O66" s="455"/>
      <c r="P66" s="455"/>
      <c r="Q66" s="455"/>
      <c r="R66" s="455"/>
    </row>
    <row r="67" spans="1:18" ht="17.25" customHeight="1">
      <c r="A67" s="790">
        <f t="shared" si="4"/>
        <v>62</v>
      </c>
      <c r="B67" s="161" t="s">
        <v>508</v>
      </c>
      <c r="C67" s="474">
        <v>42602</v>
      </c>
      <c r="D67" s="475" t="s">
        <v>728</v>
      </c>
      <c r="E67" s="534">
        <v>37.5</v>
      </c>
      <c r="F67" s="533">
        <v>25.5</v>
      </c>
      <c r="G67" s="533">
        <v>23.9</v>
      </c>
      <c r="H67" s="574">
        <f t="shared" si="3"/>
        <v>0.69</v>
      </c>
      <c r="I67" s="134">
        <f t="shared" si="10"/>
        <v>648.59999999999991</v>
      </c>
      <c r="J67" s="549">
        <v>940</v>
      </c>
      <c r="K67" s="134">
        <f t="shared" si="11"/>
        <v>5687.9782491785991</v>
      </c>
      <c r="L67" s="412">
        <v>5900</v>
      </c>
      <c r="M67" s="471"/>
      <c r="N67" s="455"/>
      <c r="O67" s="455"/>
      <c r="P67" s="455"/>
      <c r="Q67" s="455"/>
      <c r="R67" s="455"/>
    </row>
    <row r="68" spans="1:18" ht="17.25" customHeight="1">
      <c r="A68" s="790">
        <f t="shared" si="4"/>
        <v>63</v>
      </c>
      <c r="B68" s="161" t="s">
        <v>683</v>
      </c>
      <c r="C68" s="474">
        <v>42605</v>
      </c>
      <c r="D68" s="475" t="s">
        <v>729</v>
      </c>
      <c r="E68" s="534">
        <v>47</v>
      </c>
      <c r="F68" s="533">
        <v>47</v>
      </c>
      <c r="G68" s="533">
        <v>52</v>
      </c>
      <c r="H68" s="574">
        <f t="shared" si="3"/>
        <v>1.97</v>
      </c>
      <c r="I68" s="134">
        <f t="shared" si="10"/>
        <v>114.26</v>
      </c>
      <c r="J68" s="549">
        <v>58</v>
      </c>
      <c r="K68" s="134">
        <f t="shared" si="11"/>
        <v>16239.590073741798</v>
      </c>
      <c r="L68" s="412">
        <v>16070</v>
      </c>
      <c r="M68" s="471"/>
      <c r="N68" s="455"/>
      <c r="O68" s="455"/>
      <c r="P68" s="455"/>
      <c r="Q68" s="455"/>
      <c r="R68" s="455"/>
    </row>
    <row r="69" spans="1:18" ht="17.25" customHeight="1">
      <c r="A69" s="790">
        <f t="shared" si="4"/>
        <v>64</v>
      </c>
      <c r="B69" s="161" t="s">
        <v>496</v>
      </c>
      <c r="C69" s="474">
        <v>42605</v>
      </c>
      <c r="D69" s="475" t="s">
        <v>729</v>
      </c>
      <c r="E69" s="534">
        <v>10.3</v>
      </c>
      <c r="F69" s="533">
        <v>5.4</v>
      </c>
      <c r="G69" s="533">
        <v>18</v>
      </c>
      <c r="H69" s="574">
        <f t="shared" si="3"/>
        <v>0.1</v>
      </c>
      <c r="I69" s="134">
        <f t="shared" si="10"/>
        <v>5.6000000000000005</v>
      </c>
      <c r="J69" s="549">
        <v>56</v>
      </c>
      <c r="K69" s="134">
        <f t="shared" si="11"/>
        <v>824.34467379399996</v>
      </c>
      <c r="L69" s="412">
        <v>73100</v>
      </c>
      <c r="M69" s="471"/>
      <c r="N69" s="455"/>
      <c r="O69" s="455"/>
      <c r="P69" s="455"/>
      <c r="Q69" s="455"/>
      <c r="R69" s="455"/>
    </row>
    <row r="70" spans="1:18" ht="17.25" customHeight="1">
      <c r="A70" s="790">
        <f t="shared" si="4"/>
        <v>65</v>
      </c>
      <c r="B70" s="161" t="s">
        <v>651</v>
      </c>
      <c r="C70" s="474">
        <v>42607</v>
      </c>
      <c r="D70" s="475" t="s">
        <v>730</v>
      </c>
      <c r="E70" s="534">
        <v>53</v>
      </c>
      <c r="F70" s="533">
        <v>42</v>
      </c>
      <c r="G70" s="533">
        <v>29</v>
      </c>
      <c r="H70" s="574">
        <f t="shared" si="3"/>
        <v>1.44</v>
      </c>
      <c r="I70" s="134">
        <f t="shared" ref="I70:I101" si="12">H70*J70</f>
        <v>1497.6</v>
      </c>
      <c r="J70" s="549">
        <v>1040</v>
      </c>
      <c r="K70" s="134">
        <f t="shared" si="11"/>
        <v>11870.563302633598</v>
      </c>
      <c r="L70" s="412">
        <v>15100</v>
      </c>
      <c r="M70" s="471"/>
      <c r="N70" s="455"/>
      <c r="O70" s="455"/>
      <c r="P70" s="455"/>
      <c r="Q70" s="455"/>
      <c r="R70" s="455"/>
    </row>
    <row r="71" spans="1:18" ht="17.25" customHeight="1">
      <c r="A71" s="790">
        <f t="shared" si="4"/>
        <v>66</v>
      </c>
      <c r="B71" s="161" t="s">
        <v>651</v>
      </c>
      <c r="C71" s="474">
        <v>42607</v>
      </c>
      <c r="D71" s="475" t="s">
        <v>731</v>
      </c>
      <c r="E71" s="534">
        <v>53</v>
      </c>
      <c r="F71" s="533">
        <v>42</v>
      </c>
      <c r="G71" s="533">
        <v>29</v>
      </c>
      <c r="H71" s="574">
        <f t="shared" ref="H71:H124" si="13">IF(G71&lt;&gt;"",ROUND(((E71+F71)*2+5)*(F71+G71+3)/10000,2),ROUND(E71*F71/10000,2))</f>
        <v>1.44</v>
      </c>
      <c r="I71" s="134">
        <f t="shared" si="12"/>
        <v>158.4</v>
      </c>
      <c r="J71" s="549">
        <v>110</v>
      </c>
      <c r="K71" s="134">
        <f t="shared" si="11"/>
        <v>11870.563302633598</v>
      </c>
      <c r="L71" s="412">
        <v>15100</v>
      </c>
      <c r="M71" s="471"/>
      <c r="N71" s="455"/>
      <c r="O71" s="455"/>
      <c r="P71" s="455"/>
      <c r="Q71" s="455"/>
      <c r="R71" s="455"/>
    </row>
    <row r="72" spans="1:18" ht="17.25" customHeight="1">
      <c r="A72" s="790">
        <f t="shared" si="4"/>
        <v>67</v>
      </c>
      <c r="B72" s="161" t="s">
        <v>532</v>
      </c>
      <c r="C72" s="474">
        <v>42608</v>
      </c>
      <c r="D72" s="475" t="s">
        <v>732</v>
      </c>
      <c r="E72" s="534">
        <v>51.5</v>
      </c>
      <c r="F72" s="533">
        <v>39.5</v>
      </c>
      <c r="G72" s="533">
        <v>39.5</v>
      </c>
      <c r="H72" s="574">
        <f t="shared" si="13"/>
        <v>1.53</v>
      </c>
      <c r="I72" s="134">
        <f t="shared" si="12"/>
        <v>183.6</v>
      </c>
      <c r="J72" s="549">
        <v>120</v>
      </c>
      <c r="K72" s="134">
        <f t="shared" si="11"/>
        <v>12612.473509048199</v>
      </c>
      <c r="L72" s="412">
        <v>19000</v>
      </c>
      <c r="M72" s="471"/>
      <c r="N72" s="455"/>
      <c r="O72" s="455"/>
      <c r="P72" s="455"/>
      <c r="Q72" s="455"/>
      <c r="R72" s="455"/>
    </row>
    <row r="73" spans="1:18" ht="17.25" customHeight="1">
      <c r="A73" s="790">
        <f t="shared" si="4"/>
        <v>68</v>
      </c>
      <c r="B73" s="161" t="s">
        <v>533</v>
      </c>
      <c r="C73" s="474">
        <v>42608</v>
      </c>
      <c r="D73" s="475" t="s">
        <v>732</v>
      </c>
      <c r="E73" s="534">
        <v>50</v>
      </c>
      <c r="F73" s="533">
        <v>38</v>
      </c>
      <c r="G73" s="533"/>
      <c r="H73" s="574">
        <f t="shared" si="13"/>
        <v>0.19</v>
      </c>
      <c r="I73" s="134">
        <f t="shared" si="12"/>
        <v>45.6</v>
      </c>
      <c r="J73" s="549">
        <v>240</v>
      </c>
      <c r="K73" s="134">
        <f t="shared" si="11"/>
        <v>1566.2548802085998</v>
      </c>
      <c r="L73" s="412">
        <v>1750</v>
      </c>
      <c r="M73" s="471"/>
      <c r="N73" s="455"/>
      <c r="O73" s="455"/>
      <c r="P73" s="455"/>
      <c r="Q73" s="455"/>
      <c r="R73" s="455"/>
    </row>
    <row r="74" spans="1:18" ht="17.25" customHeight="1">
      <c r="A74" s="790">
        <f t="shared" si="4"/>
        <v>69</v>
      </c>
      <c r="B74" s="161" t="s">
        <v>513</v>
      </c>
      <c r="C74" s="474">
        <v>42608</v>
      </c>
      <c r="D74" s="475" t="s">
        <v>733</v>
      </c>
      <c r="E74" s="534">
        <v>49</v>
      </c>
      <c r="F74" s="533">
        <v>38</v>
      </c>
      <c r="G74" s="533">
        <v>12</v>
      </c>
      <c r="H74" s="574">
        <f t="shared" si="13"/>
        <v>0.95</v>
      </c>
      <c r="I74" s="134">
        <f t="shared" si="12"/>
        <v>487.34999999999997</v>
      </c>
      <c r="J74" s="549">
        <v>513</v>
      </c>
      <c r="K74" s="134">
        <f t="shared" si="11"/>
        <v>7831.2744010429988</v>
      </c>
      <c r="L74" s="412">
        <v>10500</v>
      </c>
      <c r="M74" s="471"/>
      <c r="N74" s="455"/>
      <c r="O74" s="455"/>
      <c r="P74" s="455"/>
      <c r="Q74" s="455"/>
      <c r="R74" s="455"/>
    </row>
    <row r="75" spans="1:18" ht="17.25" customHeight="1">
      <c r="A75" s="790">
        <f t="shared" si="4"/>
        <v>70</v>
      </c>
      <c r="B75" s="161" t="s">
        <v>534</v>
      </c>
      <c r="C75" s="474">
        <v>42608</v>
      </c>
      <c r="D75" s="475" t="s">
        <v>734</v>
      </c>
      <c r="E75" s="534">
        <v>52.5</v>
      </c>
      <c r="F75" s="533">
        <v>30.5</v>
      </c>
      <c r="G75" s="533">
        <v>8.5</v>
      </c>
      <c r="H75" s="574">
        <f t="shared" si="13"/>
        <v>0.72</v>
      </c>
      <c r="I75" s="134">
        <f t="shared" si="12"/>
        <v>720</v>
      </c>
      <c r="J75" s="549">
        <v>1000</v>
      </c>
      <c r="K75" s="134">
        <f t="shared" si="11"/>
        <v>5935.2816513167991</v>
      </c>
      <c r="L75" s="412">
        <v>7700</v>
      </c>
      <c r="M75" s="471"/>
      <c r="N75" s="455"/>
      <c r="O75" s="455"/>
      <c r="P75" s="455"/>
      <c r="Q75" s="455"/>
      <c r="R75" s="455"/>
    </row>
    <row r="76" spans="1:18" ht="17.25" customHeight="1">
      <c r="A76" s="790">
        <f t="shared" si="4"/>
        <v>71</v>
      </c>
      <c r="B76" s="161" t="s">
        <v>535</v>
      </c>
      <c r="C76" s="474">
        <v>42608</v>
      </c>
      <c r="D76" s="475" t="s">
        <v>734</v>
      </c>
      <c r="E76" s="534">
        <v>53</v>
      </c>
      <c r="F76" s="533">
        <v>31</v>
      </c>
      <c r="G76" s="533">
        <v>9.1999999999999993</v>
      </c>
      <c r="H76" s="574">
        <f t="shared" si="13"/>
        <v>0.75</v>
      </c>
      <c r="I76" s="134">
        <f t="shared" si="12"/>
        <v>727.5</v>
      </c>
      <c r="J76" s="549">
        <v>970</v>
      </c>
      <c r="K76" s="134">
        <f t="shared" si="11"/>
        <v>6182.5850534549991</v>
      </c>
      <c r="L76" s="412">
        <v>6400</v>
      </c>
      <c r="M76" s="471"/>
      <c r="N76" s="455"/>
      <c r="O76" s="455"/>
      <c r="P76" s="455"/>
      <c r="Q76" s="455"/>
      <c r="R76" s="455"/>
    </row>
    <row r="77" spans="1:18" ht="17.25" customHeight="1">
      <c r="A77" s="790">
        <f t="shared" si="4"/>
        <v>72</v>
      </c>
      <c r="B77" s="161" t="s">
        <v>536</v>
      </c>
      <c r="C77" s="474">
        <v>42609</v>
      </c>
      <c r="D77" s="475" t="s">
        <v>735</v>
      </c>
      <c r="E77" s="534">
        <v>43</v>
      </c>
      <c r="F77" s="533">
        <v>27.5</v>
      </c>
      <c r="G77" s="533">
        <v>23</v>
      </c>
      <c r="H77" s="574">
        <f t="shared" si="13"/>
        <v>0.78</v>
      </c>
      <c r="I77" s="134">
        <f t="shared" si="12"/>
        <v>158.34</v>
      </c>
      <c r="J77" s="549">
        <v>203</v>
      </c>
      <c r="K77" s="134">
        <f t="shared" si="11"/>
        <v>6429.8884555932</v>
      </c>
      <c r="L77" s="412">
        <v>6400</v>
      </c>
      <c r="M77" s="471"/>
      <c r="N77" s="455"/>
      <c r="O77" s="455"/>
      <c r="P77" s="455"/>
      <c r="Q77" s="455"/>
      <c r="R77" s="455"/>
    </row>
    <row r="78" spans="1:18" ht="17.25" customHeight="1">
      <c r="A78" s="790">
        <f t="shared" si="4"/>
        <v>73</v>
      </c>
      <c r="B78" s="161" t="s">
        <v>527</v>
      </c>
      <c r="C78" s="474">
        <v>42611</v>
      </c>
      <c r="D78" s="475" t="s">
        <v>736</v>
      </c>
      <c r="E78" s="534">
        <v>103</v>
      </c>
      <c r="F78" s="533">
        <v>50</v>
      </c>
      <c r="G78" s="533">
        <v>180</v>
      </c>
      <c r="H78" s="574">
        <f t="shared" si="13"/>
        <v>7.25</v>
      </c>
      <c r="I78" s="134">
        <f t="shared" si="12"/>
        <v>1160</v>
      </c>
      <c r="J78" s="549">
        <v>160</v>
      </c>
      <c r="K78" s="134">
        <f t="shared" si="11"/>
        <v>59764.988850064998</v>
      </c>
      <c r="L78" s="412">
        <v>47449</v>
      </c>
      <c r="M78" s="471"/>
      <c r="N78" s="455"/>
      <c r="O78" s="455"/>
      <c r="P78" s="455"/>
      <c r="Q78" s="455"/>
      <c r="R78" s="455"/>
    </row>
    <row r="79" spans="1:18" ht="17.25" customHeight="1">
      <c r="A79" s="790">
        <f t="shared" si="4"/>
        <v>74</v>
      </c>
      <c r="B79" s="161" t="s">
        <v>368</v>
      </c>
      <c r="C79" s="474">
        <v>42612</v>
      </c>
      <c r="D79" s="475" t="s">
        <v>737</v>
      </c>
      <c r="E79" s="534">
        <v>125</v>
      </c>
      <c r="F79" s="533">
        <v>185</v>
      </c>
      <c r="G79" s="533"/>
      <c r="H79" s="574">
        <f t="shared" si="13"/>
        <v>2.31</v>
      </c>
      <c r="I79" s="134">
        <f t="shared" si="12"/>
        <v>1155</v>
      </c>
      <c r="J79" s="549">
        <v>500</v>
      </c>
      <c r="K79" s="134">
        <f t="shared" si="11"/>
        <v>19042.361964641397</v>
      </c>
      <c r="L79" s="412">
        <v>12950</v>
      </c>
      <c r="M79" s="471"/>
      <c r="N79" s="455"/>
      <c r="O79" s="455"/>
      <c r="P79" s="455"/>
      <c r="Q79" s="455"/>
      <c r="R79" s="455"/>
    </row>
    <row r="80" spans="1:18" ht="17.25" customHeight="1">
      <c r="A80" s="790">
        <f t="shared" si="4"/>
        <v>75</v>
      </c>
      <c r="B80" s="161" t="s">
        <v>500</v>
      </c>
      <c r="C80" s="474">
        <v>42613</v>
      </c>
      <c r="D80" s="475" t="s">
        <v>738</v>
      </c>
      <c r="E80" s="534">
        <v>45</v>
      </c>
      <c r="F80" s="533">
        <v>37</v>
      </c>
      <c r="G80" s="533">
        <v>27.5</v>
      </c>
      <c r="H80" s="574">
        <f t="shared" si="13"/>
        <v>1.1399999999999999</v>
      </c>
      <c r="I80" s="134">
        <f t="shared" si="12"/>
        <v>1709.9999999999998</v>
      </c>
      <c r="J80" s="549">
        <v>1500</v>
      </c>
      <c r="K80" s="134">
        <f t="shared" si="11"/>
        <v>9397.5292812515981</v>
      </c>
      <c r="L80" s="412">
        <v>13800</v>
      </c>
      <c r="M80" s="471"/>
      <c r="N80" s="455"/>
      <c r="O80" s="455"/>
      <c r="P80" s="455"/>
      <c r="Q80" s="455"/>
      <c r="R80" s="455"/>
    </row>
    <row r="81" spans="1:18" ht="17.25" customHeight="1">
      <c r="A81" s="790">
        <f t="shared" si="4"/>
        <v>76</v>
      </c>
      <c r="B81" s="161" t="s">
        <v>500</v>
      </c>
      <c r="C81" s="474">
        <v>42613</v>
      </c>
      <c r="D81" s="475" t="s">
        <v>738</v>
      </c>
      <c r="E81" s="534">
        <v>45</v>
      </c>
      <c r="F81" s="533">
        <v>37</v>
      </c>
      <c r="G81" s="533">
        <v>27.5</v>
      </c>
      <c r="H81" s="574">
        <f t="shared" si="13"/>
        <v>1.1399999999999999</v>
      </c>
      <c r="I81" s="134">
        <f t="shared" si="12"/>
        <v>455.99999999999994</v>
      </c>
      <c r="J81" s="549">
        <v>400</v>
      </c>
      <c r="K81" s="134">
        <f t="shared" si="11"/>
        <v>9397.5292812515981</v>
      </c>
      <c r="L81" s="412">
        <v>13400</v>
      </c>
      <c r="M81" s="471"/>
      <c r="N81" s="455"/>
      <c r="O81" s="455"/>
      <c r="P81" s="455"/>
      <c r="Q81" s="455"/>
      <c r="R81" s="455"/>
    </row>
    <row r="82" spans="1:18" ht="17.25" customHeight="1">
      <c r="A82" s="790">
        <f t="shared" si="4"/>
        <v>77</v>
      </c>
      <c r="B82" s="161" t="s">
        <v>375</v>
      </c>
      <c r="C82" s="474">
        <v>42613</v>
      </c>
      <c r="D82" s="475" t="s">
        <v>738</v>
      </c>
      <c r="E82" s="534">
        <v>44</v>
      </c>
      <c r="F82" s="533">
        <v>20</v>
      </c>
      <c r="G82" s="533"/>
      <c r="H82" s="574">
        <f t="shared" si="13"/>
        <v>0.09</v>
      </c>
      <c r="I82" s="134">
        <f t="shared" si="12"/>
        <v>342</v>
      </c>
      <c r="J82" s="549">
        <v>3800</v>
      </c>
      <c r="K82" s="134">
        <f t="shared" si="11"/>
        <v>741.91020641459988</v>
      </c>
      <c r="L82" s="412">
        <v>1300</v>
      </c>
      <c r="M82" s="471"/>
      <c r="N82" s="455"/>
      <c r="O82" s="455"/>
      <c r="P82" s="455"/>
      <c r="Q82" s="455"/>
      <c r="R82" s="455"/>
    </row>
    <row r="83" spans="1:18" ht="17.25" customHeight="1">
      <c r="A83" s="790">
        <f t="shared" si="4"/>
        <v>78</v>
      </c>
      <c r="B83" s="161" t="s">
        <v>518</v>
      </c>
      <c r="C83" s="474">
        <v>42613</v>
      </c>
      <c r="D83" s="475" t="s">
        <v>739</v>
      </c>
      <c r="E83" s="534">
        <v>52</v>
      </c>
      <c r="F83" s="533">
        <v>24.5</v>
      </c>
      <c r="G83" s="533">
        <v>24.5</v>
      </c>
      <c r="H83" s="574">
        <f t="shared" si="13"/>
        <v>0.82</v>
      </c>
      <c r="I83" s="134">
        <f t="shared" si="12"/>
        <v>671.57999999999993</v>
      </c>
      <c r="J83" s="549">
        <v>819</v>
      </c>
      <c r="K83" s="134">
        <f t="shared" si="11"/>
        <v>6759.6263251107994</v>
      </c>
      <c r="L83" s="412">
        <v>5000</v>
      </c>
      <c r="M83" s="471"/>
      <c r="N83" s="455"/>
      <c r="O83" s="455"/>
      <c r="P83" s="455"/>
      <c r="Q83" s="455"/>
      <c r="R83" s="455"/>
    </row>
    <row r="84" spans="1:18" ht="17.25" customHeight="1">
      <c r="A84" s="790">
        <f t="shared" si="4"/>
        <v>79</v>
      </c>
      <c r="B84" s="161" t="s">
        <v>544</v>
      </c>
      <c r="C84" s="474">
        <v>42613</v>
      </c>
      <c r="D84" s="475" t="s">
        <v>739</v>
      </c>
      <c r="E84" s="534">
        <v>52</v>
      </c>
      <c r="F84" s="533">
        <v>26.5</v>
      </c>
      <c r="G84" s="533">
        <v>26.5</v>
      </c>
      <c r="H84" s="574">
        <f t="shared" si="13"/>
        <v>0.91</v>
      </c>
      <c r="I84" s="134">
        <f t="shared" si="12"/>
        <v>555.1</v>
      </c>
      <c r="J84" s="549">
        <v>610</v>
      </c>
      <c r="K84" s="134">
        <f t="shared" si="11"/>
        <v>7501.5365315253994</v>
      </c>
      <c r="L84" s="412">
        <v>5550</v>
      </c>
      <c r="M84" s="471"/>
      <c r="N84" s="455"/>
      <c r="O84" s="455"/>
      <c r="P84" s="455"/>
      <c r="Q84" s="455"/>
      <c r="R84" s="455"/>
    </row>
    <row r="85" spans="1:18" ht="17.25" customHeight="1">
      <c r="A85" s="790">
        <f t="shared" si="4"/>
        <v>80</v>
      </c>
      <c r="B85" s="161" t="s">
        <v>520</v>
      </c>
      <c r="C85" s="474">
        <v>42613</v>
      </c>
      <c r="D85" s="475" t="s">
        <v>739</v>
      </c>
      <c r="E85" s="534">
        <v>55</v>
      </c>
      <c r="F85" s="533">
        <v>45</v>
      </c>
      <c r="G85" s="533">
        <v>29</v>
      </c>
      <c r="H85" s="574">
        <f t="shared" si="13"/>
        <v>1.58</v>
      </c>
      <c r="I85" s="134">
        <f t="shared" si="12"/>
        <v>946.42000000000007</v>
      </c>
      <c r="J85" s="549">
        <v>599</v>
      </c>
      <c r="K85" s="134">
        <f t="shared" si="11"/>
        <v>13024.645845945199</v>
      </c>
      <c r="L85" s="412">
        <v>9700</v>
      </c>
      <c r="M85" s="471"/>
      <c r="N85" s="455"/>
      <c r="O85" s="455"/>
      <c r="P85" s="455"/>
      <c r="Q85" s="455"/>
      <c r="R85" s="455"/>
    </row>
    <row r="86" spans="1:18" ht="17.25" customHeight="1">
      <c r="A86" s="790">
        <f t="shared" si="4"/>
        <v>81</v>
      </c>
      <c r="B86" s="161" t="s">
        <v>623</v>
      </c>
      <c r="C86" s="474">
        <v>42613</v>
      </c>
      <c r="D86" s="475" t="s">
        <v>739</v>
      </c>
      <c r="E86" s="534">
        <v>61</v>
      </c>
      <c r="F86" s="533">
        <v>51</v>
      </c>
      <c r="G86" s="533">
        <v>30</v>
      </c>
      <c r="H86" s="574">
        <f t="shared" si="13"/>
        <v>1.92</v>
      </c>
      <c r="I86" s="134">
        <f t="shared" si="12"/>
        <v>585.6</v>
      </c>
      <c r="J86" s="549">
        <v>305</v>
      </c>
      <c r="K86" s="134">
        <f t="shared" ref="K86:K117" si="14">H86*$R$33</f>
        <v>15827.417736844798</v>
      </c>
      <c r="L86" s="412">
        <v>10670</v>
      </c>
      <c r="M86" s="471"/>
      <c r="N86" s="455"/>
      <c r="O86" s="455"/>
      <c r="P86" s="455"/>
      <c r="Q86" s="455"/>
      <c r="R86" s="455"/>
    </row>
    <row r="87" spans="1:18" ht="17.25" customHeight="1">
      <c r="A87" s="790">
        <f t="shared" si="4"/>
        <v>82</v>
      </c>
      <c r="B87" s="161" t="s">
        <v>538</v>
      </c>
      <c r="C87" s="474">
        <v>42614</v>
      </c>
      <c r="D87" s="475" t="s">
        <v>740</v>
      </c>
      <c r="E87" s="534">
        <v>52</v>
      </c>
      <c r="F87" s="533">
        <v>28</v>
      </c>
      <c r="G87" s="533">
        <v>28</v>
      </c>
      <c r="H87" s="574">
        <f t="shared" si="13"/>
        <v>0.97</v>
      </c>
      <c r="I87" s="134">
        <f t="shared" si="12"/>
        <v>488.88</v>
      </c>
      <c r="J87" s="549">
        <v>504</v>
      </c>
      <c r="K87" s="134">
        <f t="shared" si="14"/>
        <v>7996.1433358017994</v>
      </c>
      <c r="L87" s="412">
        <v>6400</v>
      </c>
      <c r="M87" s="471"/>
      <c r="N87" s="455"/>
      <c r="O87" s="455"/>
      <c r="P87" s="455"/>
      <c r="Q87" s="455"/>
      <c r="R87" s="455"/>
    </row>
    <row r="88" spans="1:18" ht="17.25" customHeight="1">
      <c r="A88" s="790">
        <f t="shared" si="4"/>
        <v>83</v>
      </c>
      <c r="B88" s="161" t="s">
        <v>539</v>
      </c>
      <c r="C88" s="474">
        <v>42614</v>
      </c>
      <c r="D88" s="475" t="s">
        <v>741</v>
      </c>
      <c r="E88" s="534">
        <v>32</v>
      </c>
      <c r="F88" s="533">
        <v>26</v>
      </c>
      <c r="G88" s="533">
        <v>25</v>
      </c>
      <c r="H88" s="574">
        <f t="shared" si="13"/>
        <v>0.65</v>
      </c>
      <c r="I88" s="134">
        <f t="shared" si="12"/>
        <v>1729</v>
      </c>
      <c r="J88" s="549">
        <v>2660</v>
      </c>
      <c r="K88" s="134">
        <f t="shared" si="14"/>
        <v>5358.2403796609997</v>
      </c>
      <c r="L88" s="412">
        <v>7350</v>
      </c>
      <c r="M88" s="471"/>
      <c r="N88" s="455"/>
      <c r="O88" s="455"/>
      <c r="P88" s="455"/>
      <c r="Q88" s="455"/>
      <c r="R88" s="455"/>
    </row>
    <row r="89" spans="1:18" ht="17.25" customHeight="1">
      <c r="A89" s="790">
        <f t="shared" si="4"/>
        <v>84</v>
      </c>
      <c r="B89" s="161" t="s">
        <v>649</v>
      </c>
      <c r="C89" s="474">
        <v>42618</v>
      </c>
      <c r="D89" s="475" t="s">
        <v>742</v>
      </c>
      <c r="E89" s="534">
        <v>36</v>
      </c>
      <c r="F89" s="533">
        <v>30.5</v>
      </c>
      <c r="G89" s="533">
        <v>42</v>
      </c>
      <c r="H89" s="574">
        <f t="shared" si="13"/>
        <v>1.04</v>
      </c>
      <c r="I89" s="134">
        <f t="shared" si="12"/>
        <v>428.48</v>
      </c>
      <c r="J89" s="549">
        <v>412</v>
      </c>
      <c r="K89" s="134">
        <f t="shared" si="14"/>
        <v>8573.1846074575988</v>
      </c>
      <c r="L89" s="412">
        <v>11800</v>
      </c>
      <c r="M89" s="471"/>
      <c r="N89" s="455"/>
      <c r="O89" s="455"/>
      <c r="P89" s="455"/>
      <c r="Q89" s="455"/>
      <c r="R89" s="455"/>
    </row>
    <row r="90" spans="1:18" ht="17.25" customHeight="1">
      <c r="A90" s="790">
        <f t="shared" si="4"/>
        <v>85</v>
      </c>
      <c r="B90" s="161" t="s">
        <v>498</v>
      </c>
      <c r="C90" s="474">
        <v>42618</v>
      </c>
      <c r="D90" s="475" t="s">
        <v>742</v>
      </c>
      <c r="E90" s="534">
        <v>47</v>
      </c>
      <c r="F90" s="533">
        <v>42</v>
      </c>
      <c r="G90" s="533">
        <v>25</v>
      </c>
      <c r="H90" s="574">
        <f t="shared" si="13"/>
        <v>1.28</v>
      </c>
      <c r="I90" s="134">
        <f t="shared" si="12"/>
        <v>488.96000000000004</v>
      </c>
      <c r="J90" s="549">
        <v>382</v>
      </c>
      <c r="K90" s="134">
        <f t="shared" si="14"/>
        <v>10551.611824563199</v>
      </c>
      <c r="L90" s="412">
        <v>9400</v>
      </c>
      <c r="M90" s="471"/>
      <c r="N90" s="455"/>
      <c r="O90" s="455"/>
      <c r="P90" s="455"/>
      <c r="Q90" s="455"/>
      <c r="R90" s="455"/>
    </row>
    <row r="91" spans="1:18" ht="17.25" customHeight="1">
      <c r="A91" s="790">
        <f t="shared" si="4"/>
        <v>86</v>
      </c>
      <c r="B91" s="161" t="s">
        <v>498</v>
      </c>
      <c r="C91" s="474">
        <v>42618</v>
      </c>
      <c r="D91" s="475" t="s">
        <v>742</v>
      </c>
      <c r="E91" s="534">
        <v>47</v>
      </c>
      <c r="F91" s="533">
        <v>42</v>
      </c>
      <c r="G91" s="533">
        <v>25</v>
      </c>
      <c r="H91" s="574">
        <f t="shared" si="13"/>
        <v>1.28</v>
      </c>
      <c r="I91" s="134">
        <f t="shared" si="12"/>
        <v>140.80000000000001</v>
      </c>
      <c r="J91" s="549">
        <v>110</v>
      </c>
      <c r="K91" s="134">
        <f t="shared" si="14"/>
        <v>10551.611824563199</v>
      </c>
      <c r="L91" s="412">
        <v>16700</v>
      </c>
      <c r="M91" s="471"/>
      <c r="N91" s="455"/>
      <c r="O91" s="455"/>
      <c r="P91" s="455"/>
      <c r="Q91" s="455"/>
      <c r="R91" s="455"/>
    </row>
    <row r="92" spans="1:18" ht="17.25" customHeight="1">
      <c r="A92" s="790">
        <f t="shared" si="4"/>
        <v>87</v>
      </c>
      <c r="B92" s="161" t="s">
        <v>650</v>
      </c>
      <c r="C92" s="474">
        <v>42618</v>
      </c>
      <c r="D92" s="475" t="s">
        <v>742</v>
      </c>
      <c r="E92" s="534">
        <v>28</v>
      </c>
      <c r="F92" s="533">
        <v>28</v>
      </c>
      <c r="G92" s="533">
        <v>42</v>
      </c>
      <c r="H92" s="574">
        <f t="shared" si="13"/>
        <v>0.85</v>
      </c>
      <c r="I92" s="134">
        <f t="shared" si="12"/>
        <v>93.5</v>
      </c>
      <c r="J92" s="549">
        <v>110</v>
      </c>
      <c r="K92" s="134">
        <f t="shared" si="14"/>
        <v>7006.9297272489994</v>
      </c>
      <c r="L92" s="412">
        <v>6300</v>
      </c>
      <c r="M92" s="471"/>
      <c r="N92" s="455"/>
      <c r="O92" s="455"/>
      <c r="P92" s="455"/>
      <c r="Q92" s="455"/>
      <c r="R92" s="455"/>
    </row>
    <row r="93" spans="1:18" ht="17.25" customHeight="1">
      <c r="A93" s="790">
        <f t="shared" si="4"/>
        <v>88</v>
      </c>
      <c r="B93" s="161" t="s">
        <v>651</v>
      </c>
      <c r="C93" s="474">
        <v>42618</v>
      </c>
      <c r="D93" s="475" t="s">
        <v>743</v>
      </c>
      <c r="E93" s="534">
        <v>53</v>
      </c>
      <c r="F93" s="533">
        <v>42</v>
      </c>
      <c r="G93" s="533">
        <v>29</v>
      </c>
      <c r="H93" s="574">
        <f t="shared" si="13"/>
        <v>1.44</v>
      </c>
      <c r="I93" s="134">
        <f t="shared" si="12"/>
        <v>93.6</v>
      </c>
      <c r="J93" s="549">
        <v>65</v>
      </c>
      <c r="K93" s="134">
        <f t="shared" si="14"/>
        <v>11870.563302633598</v>
      </c>
      <c r="L93" s="412">
        <v>15600</v>
      </c>
      <c r="M93" s="471"/>
      <c r="N93" s="455"/>
      <c r="O93" s="455"/>
      <c r="P93" s="455"/>
      <c r="Q93" s="455"/>
      <c r="R93" s="455"/>
    </row>
    <row r="94" spans="1:18" ht="17.25" customHeight="1">
      <c r="A94" s="790">
        <f t="shared" si="4"/>
        <v>89</v>
      </c>
      <c r="B94" s="161" t="s">
        <v>652</v>
      </c>
      <c r="C94" s="474">
        <v>42618</v>
      </c>
      <c r="D94" s="475" t="s">
        <v>743</v>
      </c>
      <c r="E94" s="534">
        <v>47</v>
      </c>
      <c r="F94" s="533">
        <v>42</v>
      </c>
      <c r="G94" s="533">
        <v>13.5</v>
      </c>
      <c r="H94" s="574">
        <f t="shared" si="13"/>
        <v>1.07</v>
      </c>
      <c r="I94" s="134">
        <f t="shared" si="12"/>
        <v>981.19</v>
      </c>
      <c r="J94" s="549">
        <v>917</v>
      </c>
      <c r="K94" s="134">
        <f t="shared" si="14"/>
        <v>8820.4880095957997</v>
      </c>
      <c r="L94" s="412">
        <v>7900</v>
      </c>
      <c r="M94" s="471"/>
      <c r="N94" s="455"/>
      <c r="O94" s="455"/>
      <c r="P94" s="455"/>
      <c r="Q94" s="455"/>
      <c r="R94" s="455"/>
    </row>
    <row r="95" spans="1:18" ht="17.25" customHeight="1">
      <c r="A95" s="790">
        <f t="shared" si="4"/>
        <v>90</v>
      </c>
      <c r="B95" s="161" t="s">
        <v>498</v>
      </c>
      <c r="C95" s="474">
        <v>42618</v>
      </c>
      <c r="D95" s="475" t="s">
        <v>743</v>
      </c>
      <c r="E95" s="534">
        <v>47</v>
      </c>
      <c r="F95" s="533">
        <v>42</v>
      </c>
      <c r="G95" s="533">
        <v>25</v>
      </c>
      <c r="H95" s="574">
        <f t="shared" si="13"/>
        <v>1.28</v>
      </c>
      <c r="I95" s="134">
        <f t="shared" si="12"/>
        <v>92.16</v>
      </c>
      <c r="J95" s="549">
        <v>72</v>
      </c>
      <c r="K95" s="134">
        <f t="shared" si="14"/>
        <v>10551.611824563199</v>
      </c>
      <c r="L95" s="412">
        <v>9400</v>
      </c>
      <c r="M95" s="471"/>
      <c r="N95" s="455"/>
      <c r="O95" s="455"/>
      <c r="P95" s="455"/>
      <c r="Q95" s="455"/>
      <c r="R95" s="455"/>
    </row>
    <row r="96" spans="1:18" ht="17.25" customHeight="1">
      <c r="A96" s="790">
        <f t="shared" si="4"/>
        <v>91</v>
      </c>
      <c r="B96" s="161" t="s">
        <v>508</v>
      </c>
      <c r="C96" s="474">
        <v>42619</v>
      </c>
      <c r="D96" s="475" t="s">
        <v>744</v>
      </c>
      <c r="E96" s="534">
        <v>37.5</v>
      </c>
      <c r="F96" s="533">
        <v>25.5</v>
      </c>
      <c r="G96" s="533">
        <v>23.9</v>
      </c>
      <c r="H96" s="574">
        <f t="shared" si="13"/>
        <v>0.69</v>
      </c>
      <c r="I96" s="134">
        <f t="shared" si="12"/>
        <v>714.83999999999992</v>
      </c>
      <c r="J96" s="549">
        <v>1036</v>
      </c>
      <c r="K96" s="134">
        <f t="shared" si="14"/>
        <v>5687.9782491785991</v>
      </c>
      <c r="L96" s="412">
        <v>5900</v>
      </c>
      <c r="M96" s="471"/>
      <c r="N96" s="455"/>
      <c r="O96" s="455"/>
      <c r="P96" s="455"/>
      <c r="Q96" s="455"/>
      <c r="R96" s="455"/>
    </row>
    <row r="97" spans="1:18" ht="17.25" customHeight="1">
      <c r="A97" s="790">
        <f t="shared" si="4"/>
        <v>92</v>
      </c>
      <c r="B97" s="161" t="s">
        <v>662</v>
      </c>
      <c r="C97" s="474">
        <v>42619</v>
      </c>
      <c r="D97" s="475" t="s">
        <v>746</v>
      </c>
      <c r="E97" s="534">
        <v>39.5</v>
      </c>
      <c r="F97" s="533">
        <v>32.299999999999997</v>
      </c>
      <c r="G97" s="533">
        <v>27.7</v>
      </c>
      <c r="H97" s="574">
        <f t="shared" si="13"/>
        <v>0.94</v>
      </c>
      <c r="I97" s="134">
        <f t="shared" si="12"/>
        <v>199.28</v>
      </c>
      <c r="J97" s="549">
        <v>212</v>
      </c>
      <c r="K97" s="134">
        <f t="shared" si="14"/>
        <v>7748.8399336635994</v>
      </c>
      <c r="L97" s="412">
        <v>9400</v>
      </c>
      <c r="M97" s="471"/>
      <c r="N97" s="455"/>
      <c r="O97" s="455"/>
      <c r="P97" s="455"/>
      <c r="Q97" s="455"/>
      <c r="R97" s="455"/>
    </row>
    <row r="98" spans="1:18" ht="17.25" customHeight="1">
      <c r="A98" s="790">
        <f t="shared" si="4"/>
        <v>93</v>
      </c>
      <c r="B98" s="161" t="s">
        <v>527</v>
      </c>
      <c r="C98" s="474">
        <v>42620</v>
      </c>
      <c r="D98" s="475" t="s">
        <v>748</v>
      </c>
      <c r="E98" s="534">
        <v>103</v>
      </c>
      <c r="F98" s="533">
        <v>50</v>
      </c>
      <c r="G98" s="533">
        <v>180</v>
      </c>
      <c r="H98" s="574">
        <f t="shared" si="13"/>
        <v>7.25</v>
      </c>
      <c r="I98" s="134">
        <f t="shared" si="12"/>
        <v>435</v>
      </c>
      <c r="J98" s="549">
        <v>60</v>
      </c>
      <c r="K98" s="134">
        <f t="shared" si="14"/>
        <v>59764.988850064998</v>
      </c>
      <c r="L98" s="412">
        <v>47449</v>
      </c>
      <c r="M98" s="471"/>
      <c r="N98" s="455"/>
      <c r="O98" s="455"/>
      <c r="P98" s="455"/>
      <c r="Q98" s="455"/>
      <c r="R98" s="455"/>
    </row>
    <row r="99" spans="1:18" ht="17.25" customHeight="1">
      <c r="A99" s="790">
        <f t="shared" si="4"/>
        <v>94</v>
      </c>
      <c r="B99" s="161" t="s">
        <v>664</v>
      </c>
      <c r="C99" s="474">
        <v>42620</v>
      </c>
      <c r="D99" s="475" t="s">
        <v>748</v>
      </c>
      <c r="E99" s="534">
        <v>122</v>
      </c>
      <c r="F99" s="533">
        <v>54</v>
      </c>
      <c r="G99" s="533">
        <v>180</v>
      </c>
      <c r="H99" s="574">
        <f t="shared" si="13"/>
        <v>8.4600000000000009</v>
      </c>
      <c r="I99" s="134">
        <f t="shared" si="12"/>
        <v>169.20000000000002</v>
      </c>
      <c r="J99" s="549">
        <v>20</v>
      </c>
      <c r="K99" s="134">
        <f t="shared" si="14"/>
        <v>69739.559402972402</v>
      </c>
      <c r="L99" s="412">
        <v>54530</v>
      </c>
      <c r="M99" s="471"/>
      <c r="N99" s="455"/>
      <c r="O99" s="455"/>
      <c r="P99" s="455"/>
      <c r="Q99" s="455"/>
      <c r="R99" s="455"/>
    </row>
    <row r="100" spans="1:18" ht="17.25" customHeight="1">
      <c r="A100" s="790">
        <f t="shared" si="4"/>
        <v>95</v>
      </c>
      <c r="B100" s="161" t="s">
        <v>541</v>
      </c>
      <c r="C100" s="474">
        <v>42621</v>
      </c>
      <c r="D100" s="475" t="s">
        <v>749</v>
      </c>
      <c r="E100" s="534">
        <v>23.5</v>
      </c>
      <c r="F100" s="533">
        <v>23.5</v>
      </c>
      <c r="G100" s="533">
        <v>30</v>
      </c>
      <c r="H100" s="574">
        <f t="shared" si="13"/>
        <v>0.56000000000000005</v>
      </c>
      <c r="I100" s="134">
        <f t="shared" si="12"/>
        <v>575.12</v>
      </c>
      <c r="J100" s="549">
        <v>1027</v>
      </c>
      <c r="K100" s="134">
        <f t="shared" si="14"/>
        <v>4616.3301732463997</v>
      </c>
      <c r="L100" s="412">
        <v>6700</v>
      </c>
      <c r="M100" s="471"/>
      <c r="N100" s="455"/>
      <c r="O100" s="455"/>
      <c r="P100" s="455"/>
      <c r="Q100" s="455"/>
      <c r="R100" s="455"/>
    </row>
    <row r="101" spans="1:18" ht="17.25" customHeight="1">
      <c r="A101" s="790">
        <f t="shared" si="4"/>
        <v>96</v>
      </c>
      <c r="B101" s="161" t="s">
        <v>644</v>
      </c>
      <c r="C101" s="474">
        <v>42621</v>
      </c>
      <c r="D101" s="475" t="s">
        <v>750</v>
      </c>
      <c r="E101" s="534">
        <v>43</v>
      </c>
      <c r="F101" s="533">
        <v>42</v>
      </c>
      <c r="G101" s="533">
        <v>26</v>
      </c>
      <c r="H101" s="574">
        <f t="shared" si="13"/>
        <v>1.24</v>
      </c>
      <c r="I101" s="134">
        <f t="shared" si="12"/>
        <v>372</v>
      </c>
      <c r="J101" s="549">
        <v>300</v>
      </c>
      <c r="K101" s="134">
        <f t="shared" si="14"/>
        <v>10221.873955045599</v>
      </c>
      <c r="L101" s="412">
        <v>12400</v>
      </c>
      <c r="M101" s="471"/>
      <c r="N101" s="455"/>
      <c r="O101" s="455"/>
      <c r="P101" s="455"/>
      <c r="Q101" s="455"/>
      <c r="R101" s="455"/>
    </row>
    <row r="102" spans="1:18" ht="17.25" customHeight="1">
      <c r="A102" s="790">
        <f t="shared" si="4"/>
        <v>97</v>
      </c>
      <c r="B102" s="161" t="s">
        <v>645</v>
      </c>
      <c r="C102" s="474">
        <v>42621</v>
      </c>
      <c r="D102" s="475" t="s">
        <v>750</v>
      </c>
      <c r="E102" s="534">
        <v>49</v>
      </c>
      <c r="F102" s="533">
        <v>47</v>
      </c>
      <c r="G102" s="533">
        <v>27</v>
      </c>
      <c r="H102" s="574">
        <f t="shared" si="13"/>
        <v>1.52</v>
      </c>
      <c r="I102" s="134">
        <f t="shared" ref="I102:I124" si="15">H102*J102</f>
        <v>456</v>
      </c>
      <c r="J102" s="549">
        <v>300</v>
      </c>
      <c r="K102" s="134">
        <f t="shared" si="14"/>
        <v>12530.039041668799</v>
      </c>
      <c r="L102" s="412">
        <v>14200</v>
      </c>
      <c r="M102" s="471"/>
      <c r="N102" s="455"/>
      <c r="O102" s="455"/>
      <c r="P102" s="455"/>
      <c r="Q102" s="455"/>
      <c r="R102" s="455"/>
    </row>
    <row r="103" spans="1:18" ht="17.25" customHeight="1">
      <c r="A103" s="790">
        <f t="shared" si="4"/>
        <v>98</v>
      </c>
      <c r="B103" s="161" t="s">
        <v>648</v>
      </c>
      <c r="C103" s="474">
        <v>42621</v>
      </c>
      <c r="D103" s="475" t="s">
        <v>750</v>
      </c>
      <c r="E103" s="534">
        <v>38</v>
      </c>
      <c r="F103" s="533">
        <v>37</v>
      </c>
      <c r="G103" s="533">
        <v>30</v>
      </c>
      <c r="H103" s="574">
        <f t="shared" si="13"/>
        <v>1.0900000000000001</v>
      </c>
      <c r="I103" s="134">
        <f t="shared" si="15"/>
        <v>327</v>
      </c>
      <c r="J103" s="549">
        <v>300</v>
      </c>
      <c r="K103" s="134">
        <f t="shared" si="14"/>
        <v>8985.3569443546003</v>
      </c>
      <c r="L103" s="412">
        <v>15300</v>
      </c>
      <c r="M103" s="471"/>
      <c r="N103" s="455"/>
      <c r="O103" s="455"/>
      <c r="P103" s="455"/>
      <c r="Q103" s="455"/>
      <c r="R103" s="455"/>
    </row>
    <row r="104" spans="1:18" ht="17.25" customHeight="1">
      <c r="A104" s="790">
        <f t="shared" si="4"/>
        <v>99</v>
      </c>
      <c r="B104" s="161" t="s">
        <v>646</v>
      </c>
      <c r="C104" s="474">
        <v>42621</v>
      </c>
      <c r="D104" s="475" t="s">
        <v>750</v>
      </c>
      <c r="E104" s="534">
        <v>40</v>
      </c>
      <c r="F104" s="533">
        <v>39</v>
      </c>
      <c r="G104" s="533">
        <v>32</v>
      </c>
      <c r="H104" s="574">
        <f t="shared" si="13"/>
        <v>1.21</v>
      </c>
      <c r="I104" s="134">
        <f t="shared" si="15"/>
        <v>363</v>
      </c>
      <c r="J104" s="549">
        <v>300</v>
      </c>
      <c r="K104" s="134">
        <f t="shared" si="14"/>
        <v>9974.5705529073985</v>
      </c>
      <c r="L104" s="412">
        <v>16500</v>
      </c>
      <c r="M104" s="471"/>
      <c r="N104" s="455"/>
      <c r="O104" s="455"/>
      <c r="P104" s="455"/>
      <c r="Q104" s="455"/>
      <c r="R104" s="455"/>
    </row>
    <row r="105" spans="1:18" ht="17.25" customHeight="1">
      <c r="A105" s="790">
        <f t="shared" si="4"/>
        <v>100</v>
      </c>
      <c r="B105" s="161" t="s">
        <v>647</v>
      </c>
      <c r="C105" s="474">
        <v>42621</v>
      </c>
      <c r="D105" s="475" t="s">
        <v>750</v>
      </c>
      <c r="E105" s="534">
        <v>42</v>
      </c>
      <c r="F105" s="533">
        <v>41</v>
      </c>
      <c r="G105" s="533">
        <v>34</v>
      </c>
      <c r="H105" s="574">
        <f t="shared" si="13"/>
        <v>1.33</v>
      </c>
      <c r="I105" s="134">
        <f t="shared" si="15"/>
        <v>399</v>
      </c>
      <c r="J105" s="549">
        <v>300</v>
      </c>
      <c r="K105" s="134">
        <f t="shared" si="14"/>
        <v>10963.7841614602</v>
      </c>
      <c r="L105" s="412">
        <v>19700</v>
      </c>
      <c r="M105" s="471"/>
      <c r="N105" s="455"/>
      <c r="O105" s="455"/>
      <c r="P105" s="455"/>
      <c r="Q105" s="455"/>
      <c r="R105" s="455"/>
    </row>
    <row r="106" spans="1:18" ht="17.25" customHeight="1">
      <c r="A106" s="790">
        <f t="shared" si="4"/>
        <v>101</v>
      </c>
      <c r="B106" s="161" t="s">
        <v>543</v>
      </c>
      <c r="C106" s="474">
        <v>42624</v>
      </c>
      <c r="D106" s="475" t="s">
        <v>751</v>
      </c>
      <c r="E106" s="534">
        <v>44.5</v>
      </c>
      <c r="F106" s="533">
        <v>28.5</v>
      </c>
      <c r="G106" s="533">
        <v>22.5</v>
      </c>
      <c r="H106" s="574">
        <f t="shared" si="13"/>
        <v>0.82</v>
      </c>
      <c r="I106" s="134">
        <f t="shared" si="15"/>
        <v>8626.4</v>
      </c>
      <c r="J106" s="549">
        <v>10520</v>
      </c>
      <c r="K106" s="134">
        <f t="shared" si="14"/>
        <v>6759.6263251107994</v>
      </c>
      <c r="L106" s="412">
        <v>9000</v>
      </c>
      <c r="M106" s="471"/>
      <c r="N106" s="455"/>
      <c r="O106" s="455"/>
      <c r="P106" s="455"/>
      <c r="Q106" s="455"/>
      <c r="R106" s="455"/>
    </row>
    <row r="107" spans="1:18" ht="17.25" customHeight="1">
      <c r="A107" s="790">
        <f t="shared" si="4"/>
        <v>102</v>
      </c>
      <c r="B107" s="161" t="s">
        <v>662</v>
      </c>
      <c r="C107" s="474">
        <v>42626</v>
      </c>
      <c r="D107" s="475" t="s">
        <v>752</v>
      </c>
      <c r="E107" s="534">
        <v>39.5</v>
      </c>
      <c r="F107" s="533">
        <v>32.299999999999997</v>
      </c>
      <c r="G107" s="533">
        <v>27.7</v>
      </c>
      <c r="H107" s="574">
        <f t="shared" si="13"/>
        <v>0.94</v>
      </c>
      <c r="I107" s="134">
        <f t="shared" si="15"/>
        <v>197.39999999999998</v>
      </c>
      <c r="J107" s="549">
        <v>210</v>
      </c>
      <c r="K107" s="134">
        <f t="shared" si="14"/>
        <v>7748.8399336635994</v>
      </c>
      <c r="L107" s="412">
        <v>9400</v>
      </c>
      <c r="M107" s="471"/>
      <c r="N107" s="455"/>
      <c r="O107" s="455"/>
      <c r="P107" s="455"/>
      <c r="Q107" s="455"/>
      <c r="R107" s="455"/>
    </row>
    <row r="108" spans="1:18" ht="17.25" customHeight="1">
      <c r="A108" s="790">
        <f t="shared" si="4"/>
        <v>103</v>
      </c>
      <c r="B108" s="161" t="s">
        <v>663</v>
      </c>
      <c r="C108" s="474">
        <v>42626</v>
      </c>
      <c r="D108" s="475" t="s">
        <v>752</v>
      </c>
      <c r="E108" s="534">
        <v>35</v>
      </c>
      <c r="F108" s="533">
        <v>35</v>
      </c>
      <c r="G108" s="533">
        <v>21</v>
      </c>
      <c r="H108" s="574">
        <f t="shared" si="13"/>
        <v>0.86</v>
      </c>
      <c r="I108" s="134">
        <f t="shared" si="15"/>
        <v>172</v>
      </c>
      <c r="J108" s="549">
        <v>200</v>
      </c>
      <c r="K108" s="134">
        <f t="shared" si="14"/>
        <v>7089.3641946283997</v>
      </c>
      <c r="L108" s="412">
        <v>9800</v>
      </c>
      <c r="M108" s="471"/>
      <c r="N108" s="455"/>
      <c r="O108" s="455"/>
      <c r="P108" s="455"/>
      <c r="Q108" s="455"/>
      <c r="R108" s="455"/>
    </row>
    <row r="109" spans="1:18" ht="17.25" customHeight="1">
      <c r="A109" s="790">
        <f t="shared" si="4"/>
        <v>104</v>
      </c>
      <c r="B109" s="161" t="s">
        <v>661</v>
      </c>
      <c r="C109" s="474">
        <v>42626</v>
      </c>
      <c r="D109" s="475" t="s">
        <v>752</v>
      </c>
      <c r="E109" s="534">
        <v>45</v>
      </c>
      <c r="F109" s="533">
        <v>35</v>
      </c>
      <c r="G109" s="533">
        <v>28</v>
      </c>
      <c r="H109" s="574">
        <f t="shared" si="13"/>
        <v>1.0900000000000001</v>
      </c>
      <c r="I109" s="134">
        <f t="shared" si="15"/>
        <v>186.39000000000001</v>
      </c>
      <c r="J109" s="549">
        <v>171</v>
      </c>
      <c r="K109" s="134">
        <f t="shared" si="14"/>
        <v>8985.3569443546003</v>
      </c>
      <c r="L109" s="412">
        <v>11250</v>
      </c>
      <c r="M109" s="471"/>
      <c r="N109" s="455"/>
      <c r="O109" s="455"/>
      <c r="P109" s="455"/>
      <c r="Q109" s="455"/>
      <c r="R109" s="455"/>
    </row>
    <row r="110" spans="1:18" ht="17.25" customHeight="1">
      <c r="A110" s="790">
        <f t="shared" si="4"/>
        <v>105</v>
      </c>
      <c r="B110" s="161" t="s">
        <v>815</v>
      </c>
      <c r="C110" s="474">
        <v>42627</v>
      </c>
      <c r="D110" s="475" t="s">
        <v>753</v>
      </c>
      <c r="E110" s="534">
        <v>29</v>
      </c>
      <c r="F110" s="533">
        <v>18</v>
      </c>
      <c r="G110" s="533">
        <v>18.8</v>
      </c>
      <c r="H110" s="574">
        <f t="shared" si="13"/>
        <v>0.39</v>
      </c>
      <c r="I110" s="134">
        <f t="shared" si="15"/>
        <v>936</v>
      </c>
      <c r="J110" s="549">
        <v>2400</v>
      </c>
      <c r="K110" s="134">
        <f t="shared" si="14"/>
        <v>3214.9442277966</v>
      </c>
      <c r="L110" s="412">
        <v>5200</v>
      </c>
      <c r="M110" s="471"/>
      <c r="N110" s="455"/>
      <c r="O110" s="455"/>
      <c r="P110" s="455"/>
      <c r="Q110" s="455"/>
      <c r="R110" s="455"/>
    </row>
    <row r="111" spans="1:18" ht="17.25" customHeight="1">
      <c r="A111" s="790">
        <f t="shared" si="4"/>
        <v>106</v>
      </c>
      <c r="B111" s="161" t="s">
        <v>816</v>
      </c>
      <c r="C111" s="474">
        <v>42627</v>
      </c>
      <c r="D111" s="475" t="s">
        <v>753</v>
      </c>
      <c r="E111" s="534">
        <v>42.5</v>
      </c>
      <c r="F111" s="533">
        <v>28.5</v>
      </c>
      <c r="G111" s="533">
        <v>23</v>
      </c>
      <c r="H111" s="574">
        <f t="shared" si="13"/>
        <v>0.8</v>
      </c>
      <c r="I111" s="134">
        <f t="shared" si="15"/>
        <v>400</v>
      </c>
      <c r="J111" s="549">
        <v>500</v>
      </c>
      <c r="K111" s="134">
        <f t="shared" si="14"/>
        <v>6594.7573903519997</v>
      </c>
      <c r="L111" s="412">
        <v>10200</v>
      </c>
      <c r="M111" s="471"/>
      <c r="N111" s="455"/>
      <c r="O111" s="455"/>
      <c r="P111" s="455"/>
      <c r="Q111" s="455"/>
      <c r="R111" s="455"/>
    </row>
    <row r="112" spans="1:18" ht="17.25" customHeight="1">
      <c r="A112" s="790">
        <f t="shared" si="4"/>
        <v>107</v>
      </c>
      <c r="B112" s="161" t="s">
        <v>518</v>
      </c>
      <c r="C112" s="474">
        <v>42628</v>
      </c>
      <c r="D112" s="475" t="s">
        <v>754</v>
      </c>
      <c r="E112" s="534">
        <v>52</v>
      </c>
      <c r="F112" s="533">
        <v>24.5</v>
      </c>
      <c r="G112" s="533">
        <v>24.5</v>
      </c>
      <c r="H112" s="574">
        <f t="shared" si="13"/>
        <v>0.82</v>
      </c>
      <c r="I112" s="134">
        <f t="shared" si="15"/>
        <v>1492.3999999999999</v>
      </c>
      <c r="J112" s="549">
        <v>1820</v>
      </c>
      <c r="K112" s="134">
        <f t="shared" si="14"/>
        <v>6759.6263251107994</v>
      </c>
      <c r="L112" s="412">
        <v>5000</v>
      </c>
      <c r="M112" s="471"/>
      <c r="N112" s="455"/>
      <c r="O112" s="455"/>
      <c r="P112" s="455"/>
      <c r="Q112" s="455"/>
      <c r="R112" s="455"/>
    </row>
    <row r="113" spans="1:18" ht="17.25" customHeight="1">
      <c r="A113" s="790">
        <f t="shared" si="4"/>
        <v>108</v>
      </c>
      <c r="B113" s="161" t="s">
        <v>544</v>
      </c>
      <c r="C113" s="474">
        <v>42628</v>
      </c>
      <c r="D113" s="475" t="s">
        <v>754</v>
      </c>
      <c r="E113" s="534">
        <v>52</v>
      </c>
      <c r="F113" s="533">
        <v>26.5</v>
      </c>
      <c r="G113" s="533">
        <v>26.5</v>
      </c>
      <c r="H113" s="574">
        <f t="shared" si="13"/>
        <v>0.91</v>
      </c>
      <c r="I113" s="134">
        <f t="shared" si="15"/>
        <v>564.20000000000005</v>
      </c>
      <c r="J113" s="549">
        <v>620</v>
      </c>
      <c r="K113" s="134">
        <f t="shared" si="14"/>
        <v>7501.5365315253994</v>
      </c>
      <c r="L113" s="412">
        <v>5550</v>
      </c>
      <c r="M113" s="471"/>
      <c r="N113" s="455"/>
      <c r="O113" s="455"/>
      <c r="P113" s="455"/>
      <c r="Q113" s="455"/>
      <c r="R113" s="455"/>
    </row>
    <row r="114" spans="1:18" ht="17.25" customHeight="1">
      <c r="A114" s="790">
        <f t="shared" si="4"/>
        <v>109</v>
      </c>
      <c r="B114" s="161" t="s">
        <v>545</v>
      </c>
      <c r="C114" s="474">
        <v>42628</v>
      </c>
      <c r="D114" s="475" t="s">
        <v>754</v>
      </c>
      <c r="E114" s="534">
        <v>52</v>
      </c>
      <c r="F114" s="533">
        <v>32</v>
      </c>
      <c r="G114" s="533">
        <v>12</v>
      </c>
      <c r="H114" s="574">
        <f t="shared" si="13"/>
        <v>0.81</v>
      </c>
      <c r="I114" s="134">
        <f t="shared" si="15"/>
        <v>246.24</v>
      </c>
      <c r="J114" s="549">
        <v>304</v>
      </c>
      <c r="K114" s="134">
        <f t="shared" si="14"/>
        <v>6677.1918577314</v>
      </c>
      <c r="L114" s="412">
        <v>5800</v>
      </c>
      <c r="M114" s="471"/>
      <c r="N114" s="455"/>
      <c r="O114" s="455"/>
      <c r="P114" s="455"/>
      <c r="Q114" s="455"/>
      <c r="R114" s="455"/>
    </row>
    <row r="115" spans="1:18" ht="17.25" customHeight="1">
      <c r="A115" s="790">
        <f t="shared" si="4"/>
        <v>110</v>
      </c>
      <c r="B115" s="161" t="s">
        <v>546</v>
      </c>
      <c r="C115" s="474">
        <v>42628</v>
      </c>
      <c r="D115" s="475" t="s">
        <v>754</v>
      </c>
      <c r="E115" s="534">
        <v>50</v>
      </c>
      <c r="F115" s="533">
        <v>25</v>
      </c>
      <c r="G115" s="533">
        <v>30</v>
      </c>
      <c r="H115" s="574">
        <f t="shared" si="13"/>
        <v>0.9</v>
      </c>
      <c r="I115" s="134">
        <f t="shared" si="15"/>
        <v>284.40000000000003</v>
      </c>
      <c r="J115" s="549">
        <v>316</v>
      </c>
      <c r="K115" s="134">
        <f t="shared" si="14"/>
        <v>7419.102064146</v>
      </c>
      <c r="L115" s="412">
        <v>5600</v>
      </c>
      <c r="M115" s="471"/>
      <c r="N115" s="455"/>
      <c r="O115" s="455"/>
      <c r="P115" s="455"/>
      <c r="Q115" s="455"/>
      <c r="R115" s="455"/>
    </row>
    <row r="116" spans="1:18" ht="17.25" customHeight="1">
      <c r="A116" s="790">
        <f t="shared" si="4"/>
        <v>111</v>
      </c>
      <c r="B116" s="161" t="s">
        <v>513</v>
      </c>
      <c r="C116" s="474">
        <v>42635</v>
      </c>
      <c r="D116" s="475" t="s">
        <v>755</v>
      </c>
      <c r="E116" s="534">
        <v>49</v>
      </c>
      <c r="F116" s="533">
        <v>38</v>
      </c>
      <c r="G116" s="533">
        <v>12</v>
      </c>
      <c r="H116" s="574">
        <f t="shared" si="13"/>
        <v>0.95</v>
      </c>
      <c r="I116" s="134">
        <f t="shared" si="15"/>
        <v>285</v>
      </c>
      <c r="J116" s="549">
        <v>300</v>
      </c>
      <c r="K116" s="134">
        <f t="shared" si="14"/>
        <v>7831.2744010429988</v>
      </c>
      <c r="L116" s="412">
        <v>10500</v>
      </c>
      <c r="M116" s="471"/>
      <c r="N116" s="455"/>
      <c r="O116" s="455"/>
      <c r="P116" s="455"/>
      <c r="Q116" s="455"/>
      <c r="R116" s="455"/>
    </row>
    <row r="117" spans="1:18" ht="17.25" customHeight="1">
      <c r="A117" s="790">
        <f t="shared" si="4"/>
        <v>112</v>
      </c>
      <c r="B117" s="161" t="s">
        <v>547</v>
      </c>
      <c r="C117" s="474">
        <v>42639</v>
      </c>
      <c r="D117" s="475" t="s">
        <v>756</v>
      </c>
      <c r="E117" s="534">
        <v>41.5</v>
      </c>
      <c r="F117" s="533">
        <v>24.5</v>
      </c>
      <c r="G117" s="533">
        <v>11.6</v>
      </c>
      <c r="H117" s="574">
        <f t="shared" si="13"/>
        <v>0.54</v>
      </c>
      <c r="I117" s="134">
        <f t="shared" si="15"/>
        <v>58.860000000000007</v>
      </c>
      <c r="J117" s="549">
        <v>109</v>
      </c>
      <c r="K117" s="134">
        <f t="shared" si="14"/>
        <v>4451.4612384876</v>
      </c>
      <c r="L117" s="412">
        <v>6400</v>
      </c>
      <c r="M117" s="471"/>
      <c r="N117" s="455"/>
      <c r="O117" s="455"/>
      <c r="P117" s="455"/>
      <c r="Q117" s="455"/>
      <c r="R117" s="455"/>
    </row>
    <row r="118" spans="1:18" ht="17.25" customHeight="1">
      <c r="A118" s="790">
        <f t="shared" si="4"/>
        <v>113</v>
      </c>
      <c r="B118" s="161" t="s">
        <v>548</v>
      </c>
      <c r="C118" s="474">
        <v>42639</v>
      </c>
      <c r="D118" s="475" t="s">
        <v>756</v>
      </c>
      <c r="E118" s="534">
        <v>46.5</v>
      </c>
      <c r="F118" s="533">
        <v>26.5</v>
      </c>
      <c r="G118" s="533">
        <v>11.5</v>
      </c>
      <c r="H118" s="574">
        <f t="shared" si="13"/>
        <v>0.62</v>
      </c>
      <c r="I118" s="134">
        <f t="shared" si="15"/>
        <v>63.24</v>
      </c>
      <c r="J118" s="549">
        <v>102</v>
      </c>
      <c r="K118" s="134">
        <f t="shared" ref="K118:K124" si="16">H118*$R$33</f>
        <v>5110.9369775227997</v>
      </c>
      <c r="L118" s="412">
        <v>7300</v>
      </c>
      <c r="M118" s="471"/>
      <c r="N118" s="455"/>
      <c r="O118" s="455"/>
      <c r="P118" s="455"/>
      <c r="Q118" s="455"/>
      <c r="R118" s="455"/>
    </row>
    <row r="119" spans="1:18" ht="17.25" customHeight="1">
      <c r="A119" s="790">
        <f t="shared" si="4"/>
        <v>114</v>
      </c>
      <c r="B119" s="161" t="s">
        <v>661</v>
      </c>
      <c r="C119" s="474">
        <v>42639</v>
      </c>
      <c r="D119" s="475" t="s">
        <v>756</v>
      </c>
      <c r="E119" s="534">
        <v>45</v>
      </c>
      <c r="F119" s="533">
        <v>35</v>
      </c>
      <c r="G119" s="533">
        <v>28</v>
      </c>
      <c r="H119" s="574">
        <f t="shared" si="13"/>
        <v>1.0900000000000001</v>
      </c>
      <c r="I119" s="134">
        <f t="shared" si="15"/>
        <v>61.040000000000006</v>
      </c>
      <c r="J119" s="549">
        <v>56</v>
      </c>
      <c r="K119" s="134">
        <f t="shared" si="16"/>
        <v>8985.3569443546003</v>
      </c>
      <c r="L119" s="412">
        <v>11250</v>
      </c>
      <c r="M119" s="471"/>
      <c r="N119" s="455"/>
      <c r="O119" s="455"/>
      <c r="P119" s="455"/>
      <c r="Q119" s="455"/>
      <c r="R119" s="455"/>
    </row>
    <row r="120" spans="1:18" ht="17.25" customHeight="1">
      <c r="A120" s="790">
        <f t="shared" si="4"/>
        <v>115</v>
      </c>
      <c r="B120" s="161" t="s">
        <v>498</v>
      </c>
      <c r="C120" s="474">
        <v>42640</v>
      </c>
      <c r="D120" s="475" t="s">
        <v>757</v>
      </c>
      <c r="E120" s="534">
        <v>47</v>
      </c>
      <c r="F120" s="533">
        <v>42</v>
      </c>
      <c r="G120" s="533">
        <v>25</v>
      </c>
      <c r="H120" s="574">
        <f t="shared" si="13"/>
        <v>1.28</v>
      </c>
      <c r="I120" s="134">
        <f t="shared" si="15"/>
        <v>682.24</v>
      </c>
      <c r="J120" s="549">
        <v>533</v>
      </c>
      <c r="K120" s="134">
        <f t="shared" si="16"/>
        <v>10551.611824563199</v>
      </c>
      <c r="L120" s="412">
        <v>9400</v>
      </c>
      <c r="M120" s="471"/>
      <c r="N120" s="455"/>
      <c r="O120" s="455"/>
      <c r="P120" s="455"/>
      <c r="Q120" s="455"/>
      <c r="R120" s="455"/>
    </row>
    <row r="121" spans="1:18" ht="17.25" customHeight="1">
      <c r="A121" s="790">
        <f t="shared" ref="A121:A124" si="17">IF(B121&lt;&gt;"",A120+1,"")</f>
        <v>116</v>
      </c>
      <c r="B121" s="161" t="s">
        <v>498</v>
      </c>
      <c r="C121" s="474">
        <v>42640</v>
      </c>
      <c r="D121" s="475" t="s">
        <v>758</v>
      </c>
      <c r="E121" s="534">
        <v>47</v>
      </c>
      <c r="F121" s="533">
        <v>42</v>
      </c>
      <c r="G121" s="533">
        <v>25</v>
      </c>
      <c r="H121" s="574">
        <f t="shared" si="13"/>
        <v>1.28</v>
      </c>
      <c r="I121" s="134">
        <f t="shared" si="15"/>
        <v>199.68</v>
      </c>
      <c r="J121" s="549">
        <v>156</v>
      </c>
      <c r="K121" s="134">
        <f t="shared" si="16"/>
        <v>10551.611824563199</v>
      </c>
      <c r="L121" s="412">
        <v>9400</v>
      </c>
      <c r="M121" s="471"/>
      <c r="N121" s="455"/>
      <c r="O121" s="455"/>
      <c r="P121" s="455"/>
      <c r="Q121" s="455"/>
      <c r="R121" s="455"/>
    </row>
    <row r="122" spans="1:18" ht="17.25" customHeight="1">
      <c r="A122" s="790">
        <f t="shared" si="17"/>
        <v>117</v>
      </c>
      <c r="B122" s="161" t="s">
        <v>652</v>
      </c>
      <c r="C122" s="474">
        <v>42640</v>
      </c>
      <c r="D122" s="475" t="s">
        <v>758</v>
      </c>
      <c r="E122" s="534">
        <v>47</v>
      </c>
      <c r="F122" s="533">
        <v>42</v>
      </c>
      <c r="G122" s="533">
        <v>13.5</v>
      </c>
      <c r="H122" s="574">
        <f t="shared" si="13"/>
        <v>1.07</v>
      </c>
      <c r="I122" s="134">
        <f t="shared" si="15"/>
        <v>2696.4</v>
      </c>
      <c r="J122" s="549">
        <v>2520</v>
      </c>
      <c r="K122" s="134">
        <f t="shared" si="16"/>
        <v>8820.4880095957997</v>
      </c>
      <c r="L122" s="412">
        <v>7900</v>
      </c>
      <c r="M122" s="471"/>
      <c r="N122" s="455"/>
      <c r="O122" s="455"/>
      <c r="P122" s="455"/>
      <c r="Q122" s="455"/>
      <c r="R122" s="455"/>
    </row>
    <row r="123" spans="1:18" ht="17.25" customHeight="1">
      <c r="A123" s="790">
        <f t="shared" si="17"/>
        <v>118</v>
      </c>
      <c r="B123" s="161" t="s">
        <v>653</v>
      </c>
      <c r="C123" s="474">
        <v>42640</v>
      </c>
      <c r="D123" s="475" t="s">
        <v>758</v>
      </c>
      <c r="E123" s="534">
        <v>63</v>
      </c>
      <c r="F123" s="533">
        <v>42</v>
      </c>
      <c r="G123" s="533">
        <v>27</v>
      </c>
      <c r="H123" s="574">
        <f t="shared" si="13"/>
        <v>1.55</v>
      </c>
      <c r="I123" s="134">
        <f t="shared" si="15"/>
        <v>68.2</v>
      </c>
      <c r="J123" s="549">
        <v>44</v>
      </c>
      <c r="K123" s="134">
        <f t="shared" si="16"/>
        <v>12777.342443807</v>
      </c>
      <c r="L123" s="412">
        <v>17600</v>
      </c>
      <c r="M123" s="471"/>
      <c r="N123" s="455"/>
      <c r="O123" s="455"/>
      <c r="P123" s="455"/>
      <c r="Q123" s="455"/>
      <c r="R123" s="455"/>
    </row>
    <row r="124" spans="1:18" ht="17.25" customHeight="1">
      <c r="A124" s="790">
        <f t="shared" si="17"/>
        <v>119</v>
      </c>
      <c r="B124" s="161" t="s">
        <v>509</v>
      </c>
      <c r="C124" s="474">
        <v>42641</v>
      </c>
      <c r="D124" s="475" t="s">
        <v>429</v>
      </c>
      <c r="E124" s="534">
        <v>49.5</v>
      </c>
      <c r="F124" s="533">
        <v>38.5</v>
      </c>
      <c r="G124" s="533">
        <v>32.5</v>
      </c>
      <c r="H124" s="574">
        <f t="shared" si="13"/>
        <v>1.34</v>
      </c>
      <c r="I124" s="134">
        <f t="shared" si="15"/>
        <v>282.74</v>
      </c>
      <c r="J124" s="549">
        <v>211</v>
      </c>
      <c r="K124" s="134">
        <f t="shared" si="16"/>
        <v>11046.218628839601</v>
      </c>
      <c r="L124" s="412">
        <v>12900</v>
      </c>
      <c r="M124" s="471"/>
      <c r="N124" s="455"/>
      <c r="O124" s="455"/>
      <c r="P124" s="455"/>
      <c r="Q124" s="455"/>
      <c r="R124" s="455"/>
    </row>
    <row r="125" spans="1:18" ht="17.25" customHeight="1">
      <c r="A125" s="790"/>
      <c r="B125" s="161"/>
      <c r="C125" s="524"/>
      <c r="D125" s="476"/>
      <c r="E125" s="534"/>
      <c r="F125" s="533"/>
      <c r="G125" s="533"/>
      <c r="H125" s="459"/>
      <c r="I125" s="459"/>
      <c r="J125" s="134"/>
      <c r="K125" s="459"/>
      <c r="L125" s="412"/>
      <c r="M125" s="412"/>
      <c r="N125" s="477"/>
      <c r="O125" s="477"/>
      <c r="P125" s="477"/>
      <c r="Q125" s="477"/>
      <c r="R125" s="477"/>
    </row>
    <row r="126" spans="1:18" ht="17.25" customHeight="1">
      <c r="A126" s="460"/>
      <c r="B126" s="460" t="s">
        <v>235</v>
      </c>
      <c r="C126" s="478"/>
      <c r="D126" s="479"/>
      <c r="E126" s="527"/>
      <c r="F126" s="527"/>
      <c r="G126" s="527"/>
      <c r="H126" s="530">
        <f>ROUND(SUM(H6:H125),2)</f>
        <v>172.23</v>
      </c>
      <c r="I126" s="346">
        <f>ROUND(SUM(I6:I125),2)</f>
        <v>62143.86</v>
      </c>
      <c r="J126" s="346">
        <f>ROUND(SUM(J6:J125),2)</f>
        <v>65710</v>
      </c>
      <c r="K126" s="346"/>
      <c r="L126" s="467"/>
      <c r="M126" s="467"/>
      <c r="N126" s="456"/>
      <c r="O126" s="456"/>
      <c r="P126" s="456"/>
      <c r="Q126" s="456"/>
      <c r="R126" s="582"/>
    </row>
    <row r="127" spans="1:18">
      <c r="A127" s="461"/>
      <c r="B127" s="461"/>
      <c r="C127" s="480"/>
      <c r="D127" s="481"/>
      <c r="E127" s="531"/>
      <c r="F127" s="531"/>
      <c r="G127" s="531"/>
      <c r="H127" s="457"/>
      <c r="I127" s="457"/>
      <c r="J127" s="457"/>
      <c r="K127" s="457"/>
      <c r="L127" s="467"/>
      <c r="M127" s="467"/>
      <c r="N127" s="456"/>
      <c r="O127" s="456"/>
      <c r="P127" s="456"/>
      <c r="Q127" s="456"/>
      <c r="R127" s="456"/>
    </row>
    <row r="128" spans="1:18">
      <c r="A128" s="465"/>
      <c r="B128" s="455"/>
      <c r="C128" s="480"/>
      <c r="D128" s="481"/>
      <c r="E128" s="535"/>
      <c r="F128" s="535"/>
      <c r="G128" s="536"/>
      <c r="H128" s="463"/>
      <c r="I128" s="457"/>
      <c r="J128" s="457"/>
      <c r="K128" s="455"/>
      <c r="L128" s="467"/>
      <c r="M128" s="464"/>
      <c r="N128" s="455"/>
      <c r="O128" s="455"/>
      <c r="P128" s="455"/>
      <c r="Q128" s="455"/>
      <c r="R128" s="455"/>
    </row>
    <row r="129" spans="1:18" ht="18" customHeight="1">
      <c r="A129" s="791" t="str">
        <f>TH!$A$1</f>
        <v>Đơn vị: CÔNG TY TNHH BAO BÌ GIẤY KIM DUNG PHÁT</v>
      </c>
      <c r="B129" s="456"/>
      <c r="C129" s="480"/>
      <c r="D129" s="481"/>
      <c r="E129" s="492"/>
      <c r="F129" s="492"/>
      <c r="G129" s="492"/>
      <c r="H129" s="159"/>
      <c r="I129" s="400"/>
      <c r="J129" s="400"/>
      <c r="K129" s="159"/>
      <c r="L129" s="467"/>
      <c r="M129" s="467"/>
      <c r="N129" s="462"/>
      <c r="O129" s="455"/>
      <c r="P129" s="455"/>
      <c r="Q129" s="455"/>
      <c r="R129" s="455"/>
    </row>
    <row r="130" spans="1:18" ht="18.75" customHeight="1">
      <c r="A130" s="458" t="s">
        <v>412</v>
      </c>
      <c r="B130" s="457"/>
      <c r="C130" s="480"/>
      <c r="D130" s="481"/>
      <c r="E130" s="531"/>
      <c r="F130" s="531"/>
      <c r="G130" s="531"/>
      <c r="H130" s="457"/>
      <c r="I130" s="457"/>
      <c r="J130" s="457"/>
      <c r="K130" s="457"/>
      <c r="L130" s="467"/>
      <c r="M130" s="467"/>
      <c r="N130" s="455"/>
      <c r="O130" s="455"/>
      <c r="P130" s="455"/>
      <c r="Q130" s="455"/>
      <c r="R130" s="455"/>
    </row>
    <row r="131" spans="1:18" ht="18.75" customHeight="1">
      <c r="A131" s="458"/>
      <c r="B131" s="458"/>
      <c r="C131" s="480"/>
      <c r="D131" s="481"/>
      <c r="E131" s="528"/>
      <c r="F131" s="528"/>
      <c r="G131" s="528"/>
      <c r="H131" s="458"/>
      <c r="I131" s="468"/>
      <c r="J131" s="468"/>
      <c r="K131" s="458"/>
      <c r="L131" s="467"/>
      <c r="M131" s="467"/>
      <c r="N131" s="455"/>
      <c r="O131" s="455"/>
      <c r="P131" s="455"/>
      <c r="Q131" s="455"/>
      <c r="R131" s="455"/>
    </row>
    <row r="132" spans="1:18" ht="21" customHeight="1">
      <c r="A132" s="937" t="s">
        <v>34</v>
      </c>
      <c r="B132" s="937" t="s">
        <v>231</v>
      </c>
      <c r="C132" s="937" t="s">
        <v>383</v>
      </c>
      <c r="D132" s="937" t="s">
        <v>384</v>
      </c>
      <c r="E132" s="942" t="s">
        <v>385</v>
      </c>
      <c r="F132" s="943"/>
      <c r="G132" s="943"/>
      <c r="H132" s="944"/>
      <c r="I132" s="945" t="s">
        <v>395</v>
      </c>
      <c r="J132" s="937" t="s">
        <v>232</v>
      </c>
      <c r="K132" s="937" t="s">
        <v>389</v>
      </c>
      <c r="L132" s="275"/>
      <c r="M132" s="275"/>
      <c r="N132" s="937" t="s">
        <v>231</v>
      </c>
      <c r="O132" s="937" t="s">
        <v>390</v>
      </c>
      <c r="P132" s="937" t="s">
        <v>190</v>
      </c>
      <c r="Q132" s="937" t="s">
        <v>233</v>
      </c>
      <c r="R132" s="937" t="s">
        <v>234</v>
      </c>
    </row>
    <row r="133" spans="1:18" ht="21" customHeight="1">
      <c r="A133" s="937"/>
      <c r="B133" s="937"/>
      <c r="C133" s="937"/>
      <c r="D133" s="937"/>
      <c r="E133" s="494" t="s">
        <v>386</v>
      </c>
      <c r="F133" s="494" t="s">
        <v>387</v>
      </c>
      <c r="G133" s="494" t="s">
        <v>388</v>
      </c>
      <c r="H133" s="274" t="s">
        <v>393</v>
      </c>
      <c r="I133" s="946"/>
      <c r="J133" s="937"/>
      <c r="K133" s="937"/>
      <c r="L133" s="275"/>
      <c r="M133" s="275"/>
      <c r="N133" s="937"/>
      <c r="O133" s="937"/>
      <c r="P133" s="937"/>
      <c r="Q133" s="937"/>
      <c r="R133" s="937"/>
    </row>
    <row r="134" spans="1:18" ht="16.5" customHeight="1">
      <c r="A134" s="792">
        <f t="shared" ref="A134:A143" si="18">IF(B134&lt;&gt;"",ROW()-133,"")</f>
        <v>1</v>
      </c>
      <c r="B134" s="161" t="s">
        <v>800</v>
      </c>
      <c r="C134" s="472">
        <v>42647</v>
      </c>
      <c r="D134" s="473" t="s">
        <v>799</v>
      </c>
      <c r="E134" s="537">
        <v>40</v>
      </c>
      <c r="F134" s="538">
        <v>30</v>
      </c>
      <c r="G134" s="538">
        <v>18.5</v>
      </c>
      <c r="H134" s="57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49">
        <v>423</v>
      </c>
      <c r="K134" s="134">
        <f t="shared" ref="K134:K165" si="21">H134*$R$170</f>
        <v>5706.4898215078556</v>
      </c>
      <c r="L134" s="412">
        <v>8800</v>
      </c>
      <c r="M134" s="412"/>
      <c r="N134" s="109" t="s">
        <v>403</v>
      </c>
      <c r="O134" s="47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6.5" customHeight="1">
      <c r="A135" s="792">
        <f t="shared" si="18"/>
        <v>2</v>
      </c>
      <c r="B135" s="161" t="s">
        <v>802</v>
      </c>
      <c r="C135" s="472">
        <v>42647</v>
      </c>
      <c r="D135" s="473" t="s">
        <v>801</v>
      </c>
      <c r="E135" s="537">
        <v>48</v>
      </c>
      <c r="F135" s="538">
        <v>23</v>
      </c>
      <c r="G135" s="538">
        <v>22</v>
      </c>
      <c r="H135" s="574">
        <f t="shared" si="19"/>
        <v>0.71</v>
      </c>
      <c r="I135" s="134">
        <f t="shared" si="20"/>
        <v>669.53</v>
      </c>
      <c r="J135" s="549">
        <v>943</v>
      </c>
      <c r="K135" s="134">
        <f t="shared" si="21"/>
        <v>5402.1436976941031</v>
      </c>
      <c r="L135" s="412">
        <v>7135</v>
      </c>
      <c r="M135" s="412"/>
      <c r="N135" s="109" t="s">
        <v>447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6.5" customHeight="1">
      <c r="A136" s="792">
        <f t="shared" si="18"/>
        <v>3</v>
      </c>
      <c r="B136" s="161" t="s">
        <v>803</v>
      </c>
      <c r="C136" s="472">
        <v>42647</v>
      </c>
      <c r="D136" s="473" t="s">
        <v>801</v>
      </c>
      <c r="E136" s="537">
        <v>49</v>
      </c>
      <c r="F136" s="497">
        <v>23.5</v>
      </c>
      <c r="G136" s="497">
        <v>30.5</v>
      </c>
      <c r="H136" s="574">
        <f t="shared" si="19"/>
        <v>0.86</v>
      </c>
      <c r="I136" s="134">
        <f t="shared" si="20"/>
        <v>232.2</v>
      </c>
      <c r="J136" s="549">
        <v>270</v>
      </c>
      <c r="K136" s="134">
        <f t="shared" si="21"/>
        <v>6543.4416619956746</v>
      </c>
      <c r="L136" s="412">
        <v>8719</v>
      </c>
      <c r="M136" s="412"/>
      <c r="N136" s="109" t="s">
        <v>448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6.5" customHeight="1">
      <c r="A137" s="792">
        <f t="shared" si="18"/>
        <v>4</v>
      </c>
      <c r="B137" s="161" t="s">
        <v>805</v>
      </c>
      <c r="C137" s="472">
        <v>42648</v>
      </c>
      <c r="D137" s="473" t="s">
        <v>804</v>
      </c>
      <c r="E137" s="537">
        <v>39.5</v>
      </c>
      <c r="F137" s="538">
        <v>32.299999999999997</v>
      </c>
      <c r="G137" s="538">
        <v>27</v>
      </c>
      <c r="H137" s="574">
        <f t="shared" si="19"/>
        <v>0.93</v>
      </c>
      <c r="I137" s="134">
        <f t="shared" si="20"/>
        <v>283.65000000000003</v>
      </c>
      <c r="J137" s="549">
        <v>305</v>
      </c>
      <c r="K137" s="134">
        <f t="shared" si="21"/>
        <v>7076.0473786697412</v>
      </c>
      <c r="L137" s="412">
        <v>9400</v>
      </c>
      <c r="M137" s="412"/>
      <c r="N137" s="109" t="s">
        <v>403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6.5" customHeight="1">
      <c r="A138" s="792">
        <f t="shared" si="18"/>
        <v>5</v>
      </c>
      <c r="B138" s="161" t="s">
        <v>806</v>
      </c>
      <c r="C138" s="472">
        <v>42648</v>
      </c>
      <c r="D138" s="473" t="s">
        <v>804</v>
      </c>
      <c r="E138" s="537">
        <v>32</v>
      </c>
      <c r="F138" s="538">
        <v>31</v>
      </c>
      <c r="G138" s="538">
        <v>35</v>
      </c>
      <c r="H138" s="574">
        <f t="shared" si="19"/>
        <v>0.9</v>
      </c>
      <c r="I138" s="134">
        <f t="shared" si="20"/>
        <v>49.5</v>
      </c>
      <c r="J138" s="549">
        <v>55</v>
      </c>
      <c r="K138" s="134">
        <f t="shared" si="21"/>
        <v>6847.7877858094271</v>
      </c>
      <c r="L138" s="412">
        <v>12000</v>
      </c>
      <c r="M138" s="412"/>
      <c r="N138" s="109" t="s">
        <v>447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6.5" customHeight="1">
      <c r="A139" s="792">
        <f t="shared" si="18"/>
        <v>6</v>
      </c>
      <c r="B139" s="161" t="s">
        <v>807</v>
      </c>
      <c r="C139" s="472">
        <v>42648</v>
      </c>
      <c r="D139" s="473" t="s">
        <v>804</v>
      </c>
      <c r="E139" s="537">
        <v>29.5</v>
      </c>
      <c r="F139" s="538">
        <v>15</v>
      </c>
      <c r="G139" s="538">
        <v>15.5</v>
      </c>
      <c r="H139" s="574">
        <f t="shared" si="19"/>
        <v>0.31</v>
      </c>
      <c r="I139" s="134">
        <f t="shared" si="20"/>
        <v>63.55</v>
      </c>
      <c r="J139" s="549">
        <v>205</v>
      </c>
      <c r="K139" s="134">
        <f t="shared" si="21"/>
        <v>2358.6824595565804</v>
      </c>
      <c r="L139" s="412">
        <v>3200</v>
      </c>
      <c r="M139" s="412"/>
      <c r="N139" s="109" t="s">
        <v>448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6.5" customHeight="1">
      <c r="A140" s="792">
        <f t="shared" si="18"/>
        <v>7</v>
      </c>
      <c r="B140" s="161" t="s">
        <v>518</v>
      </c>
      <c r="C140" s="472">
        <v>42648</v>
      </c>
      <c r="D140" s="473" t="s">
        <v>808</v>
      </c>
      <c r="E140" s="537">
        <v>52</v>
      </c>
      <c r="F140" s="538">
        <v>24.5</v>
      </c>
      <c r="G140" s="538">
        <v>24.5</v>
      </c>
      <c r="H140" s="574">
        <f t="shared" si="19"/>
        <v>0.82</v>
      </c>
      <c r="I140" s="134">
        <f t="shared" si="20"/>
        <v>262.39999999999998</v>
      </c>
      <c r="J140" s="549">
        <v>320</v>
      </c>
      <c r="K140" s="134">
        <f t="shared" si="21"/>
        <v>6239.0955381819222</v>
      </c>
      <c r="L140" s="412">
        <v>5000</v>
      </c>
      <c r="M140" s="412"/>
      <c r="N140" s="109" t="s">
        <v>781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6.5" customHeight="1">
      <c r="A141" s="792">
        <f t="shared" si="18"/>
        <v>8</v>
      </c>
      <c r="B141" s="161" t="s">
        <v>520</v>
      </c>
      <c r="C141" s="472">
        <v>42648</v>
      </c>
      <c r="D141" s="473" t="s">
        <v>808</v>
      </c>
      <c r="E141" s="537">
        <v>55</v>
      </c>
      <c r="F141" s="538">
        <v>45</v>
      </c>
      <c r="G141" s="538">
        <v>29</v>
      </c>
      <c r="H141" s="574">
        <f t="shared" si="19"/>
        <v>1.58</v>
      </c>
      <c r="I141" s="134">
        <f t="shared" si="20"/>
        <v>1041.22</v>
      </c>
      <c r="J141" s="549">
        <v>659</v>
      </c>
      <c r="K141" s="134">
        <f t="shared" si="21"/>
        <v>12021.671890643216</v>
      </c>
      <c r="L141" s="412">
        <v>9700</v>
      </c>
      <c r="M141" s="412"/>
      <c r="N141" s="109" t="s">
        <v>781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6.5" customHeight="1">
      <c r="A142" s="792">
        <f t="shared" si="18"/>
        <v>9</v>
      </c>
      <c r="B142" s="161" t="s">
        <v>524</v>
      </c>
      <c r="C142" s="472">
        <v>42649</v>
      </c>
      <c r="D142" s="473" t="s">
        <v>434</v>
      </c>
      <c r="E142" s="537">
        <v>62</v>
      </c>
      <c r="F142" s="538">
        <v>42.5</v>
      </c>
      <c r="G142" s="538">
        <v>42.5</v>
      </c>
      <c r="H142" s="574">
        <f t="shared" si="19"/>
        <v>1.88</v>
      </c>
      <c r="I142" s="134">
        <f t="shared" si="20"/>
        <v>752</v>
      </c>
      <c r="J142" s="549">
        <v>400</v>
      </c>
      <c r="K142" s="134">
        <f t="shared" si="21"/>
        <v>14304.267819246357</v>
      </c>
      <c r="L142" s="412">
        <v>20000</v>
      </c>
      <c r="M142" s="412"/>
      <c r="N142" s="109" t="s">
        <v>781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6.5" customHeight="1">
      <c r="A143" s="792">
        <f t="shared" si="18"/>
        <v>10</v>
      </c>
      <c r="B143" s="161" t="s">
        <v>672</v>
      </c>
      <c r="C143" s="472">
        <v>42660</v>
      </c>
      <c r="D143" s="473" t="s">
        <v>759</v>
      </c>
      <c r="E143" s="537">
        <v>48</v>
      </c>
      <c r="F143" s="538">
        <v>37</v>
      </c>
      <c r="G143" s="538">
        <v>29</v>
      </c>
      <c r="H143" s="574">
        <f t="shared" si="19"/>
        <v>1.21</v>
      </c>
      <c r="I143" s="134">
        <f t="shared" si="20"/>
        <v>2178</v>
      </c>
      <c r="J143" s="549">
        <v>1800</v>
      </c>
      <c r="K143" s="134">
        <f t="shared" si="21"/>
        <v>9206.4702453660066</v>
      </c>
      <c r="L143" s="412">
        <v>9100</v>
      </c>
      <c r="M143" s="412"/>
      <c r="N143" s="109" t="s">
        <v>781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6.5" customHeight="1">
      <c r="A144" s="792">
        <f t="shared" ref="A144:A207" si="23">IF(B144&lt;&gt;"",ROW()-133,"")</f>
        <v>11</v>
      </c>
      <c r="B144" s="161" t="s">
        <v>671</v>
      </c>
      <c r="C144" s="472">
        <v>42660</v>
      </c>
      <c r="D144" s="473" t="s">
        <v>759</v>
      </c>
      <c r="E144" s="537">
        <v>43</v>
      </c>
      <c r="F144" s="538">
        <v>33</v>
      </c>
      <c r="G144" s="538">
        <v>33</v>
      </c>
      <c r="H144" s="57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49">
        <v>26</v>
      </c>
      <c r="K144" s="134">
        <f t="shared" si="21"/>
        <v>8217.3453429713136</v>
      </c>
      <c r="L144" s="412">
        <v>13000</v>
      </c>
      <c r="M144" s="412"/>
      <c r="N144" s="109" t="s">
        <v>877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6.5" customHeight="1">
      <c r="A145" s="792">
        <f t="shared" si="23"/>
        <v>12</v>
      </c>
      <c r="B145" s="161" t="s">
        <v>665</v>
      </c>
      <c r="C145" s="472">
        <v>42662</v>
      </c>
      <c r="D145" s="473" t="s">
        <v>760</v>
      </c>
      <c r="E145" s="537">
        <v>110</v>
      </c>
      <c r="F145" s="538">
        <v>70</v>
      </c>
      <c r="G145" s="538"/>
      <c r="H145" s="574">
        <f t="shared" si="24"/>
        <v>0.77</v>
      </c>
      <c r="I145" s="134">
        <f t="shared" si="20"/>
        <v>400.40000000000003</v>
      </c>
      <c r="J145" s="549">
        <v>520</v>
      </c>
      <c r="K145" s="134">
        <f t="shared" si="21"/>
        <v>5858.6628834147323</v>
      </c>
      <c r="L145" s="412">
        <v>3311</v>
      </c>
      <c r="M145" s="412"/>
      <c r="N145" s="277"/>
      <c r="O145" s="472"/>
      <c r="P145" s="495"/>
      <c r="Q145" s="488"/>
      <c r="R145" s="5"/>
    </row>
    <row r="146" spans="1:18" ht="16.5" customHeight="1">
      <c r="A146" s="792">
        <f t="shared" si="23"/>
        <v>13</v>
      </c>
      <c r="B146" s="161" t="s">
        <v>524</v>
      </c>
      <c r="C146" s="472">
        <v>42662</v>
      </c>
      <c r="D146" s="473" t="s">
        <v>760</v>
      </c>
      <c r="E146" s="537">
        <v>62</v>
      </c>
      <c r="F146" s="538">
        <v>42.5</v>
      </c>
      <c r="G146" s="538">
        <v>42.5</v>
      </c>
      <c r="H146" s="574">
        <f t="shared" si="24"/>
        <v>1.88</v>
      </c>
      <c r="I146" s="134">
        <f t="shared" si="20"/>
        <v>188</v>
      </c>
      <c r="J146" s="549">
        <v>100</v>
      </c>
      <c r="K146" s="134">
        <f t="shared" si="21"/>
        <v>14304.267819246357</v>
      </c>
      <c r="L146" s="412">
        <v>20000</v>
      </c>
      <c r="M146" s="412"/>
      <c r="N146" s="525" t="s">
        <v>377</v>
      </c>
      <c r="O146" s="526"/>
      <c r="P146" s="527"/>
      <c r="Q146" s="346"/>
      <c r="R146" s="346">
        <f>SUM(R134:R145)</f>
        <v>748716100</v>
      </c>
    </row>
    <row r="147" spans="1:18" ht="16.5" customHeight="1">
      <c r="A147" s="792">
        <f t="shared" si="23"/>
        <v>14</v>
      </c>
      <c r="B147" s="161" t="s">
        <v>666</v>
      </c>
      <c r="C147" s="472">
        <v>42672</v>
      </c>
      <c r="D147" s="473" t="s">
        <v>761</v>
      </c>
      <c r="E147" s="537">
        <v>52</v>
      </c>
      <c r="F147" s="538">
        <v>41</v>
      </c>
      <c r="G147" s="538">
        <v>27</v>
      </c>
      <c r="H147" s="574">
        <f t="shared" si="24"/>
        <v>1.36</v>
      </c>
      <c r="I147" s="134">
        <f t="shared" si="20"/>
        <v>48.96</v>
      </c>
      <c r="J147" s="549">
        <v>36</v>
      </c>
      <c r="K147" s="134">
        <f t="shared" si="21"/>
        <v>10347.76820966758</v>
      </c>
      <c r="L147" s="412">
        <v>15400</v>
      </c>
      <c r="M147" s="412"/>
      <c r="N147" s="277" t="s">
        <v>775</v>
      </c>
      <c r="O147" s="472">
        <v>42652</v>
      </c>
      <c r="P147" s="495">
        <v>13490</v>
      </c>
      <c r="Q147" s="488">
        <v>750</v>
      </c>
      <c r="R147" s="5">
        <f t="shared" ref="R147:R157" si="25">ROUND(P147*Q147,0)</f>
        <v>10117500</v>
      </c>
    </row>
    <row r="148" spans="1:18" ht="16.5" customHeight="1">
      <c r="A148" s="792">
        <f t="shared" si="23"/>
        <v>15</v>
      </c>
      <c r="B148" s="161" t="s">
        <v>653</v>
      </c>
      <c r="C148" s="472">
        <v>42672</v>
      </c>
      <c r="D148" s="473" t="s">
        <v>761</v>
      </c>
      <c r="E148" s="537">
        <v>63</v>
      </c>
      <c r="F148" s="538">
        <v>42</v>
      </c>
      <c r="G148" s="538">
        <v>27</v>
      </c>
      <c r="H148" s="574">
        <f t="shared" si="24"/>
        <v>1.55</v>
      </c>
      <c r="I148" s="134">
        <f t="shared" si="20"/>
        <v>170.5</v>
      </c>
      <c r="J148" s="549">
        <v>110</v>
      </c>
      <c r="K148" s="134">
        <f t="shared" si="21"/>
        <v>11793.412297782903</v>
      </c>
      <c r="L148" s="412">
        <v>17500</v>
      </c>
      <c r="M148" s="412"/>
      <c r="N148" s="277" t="s">
        <v>775</v>
      </c>
      <c r="O148" s="472">
        <v>42657</v>
      </c>
      <c r="P148" s="495">
        <v>16010</v>
      </c>
      <c r="Q148" s="488">
        <v>800</v>
      </c>
      <c r="R148" s="5">
        <f t="shared" si="25"/>
        <v>12808000</v>
      </c>
    </row>
    <row r="149" spans="1:18" ht="16.5" customHeight="1">
      <c r="A149" s="792">
        <f t="shared" si="23"/>
        <v>16</v>
      </c>
      <c r="B149" s="161" t="s">
        <v>667</v>
      </c>
      <c r="C149" s="472">
        <v>42672</v>
      </c>
      <c r="D149" s="473" t="s">
        <v>761</v>
      </c>
      <c r="E149" s="537">
        <v>43</v>
      </c>
      <c r="F149" s="538">
        <v>32</v>
      </c>
      <c r="G149" s="538">
        <v>32</v>
      </c>
      <c r="H149" s="574">
        <f t="shared" si="24"/>
        <v>1.04</v>
      </c>
      <c r="I149" s="134">
        <f t="shared" si="20"/>
        <v>115.44</v>
      </c>
      <c r="J149" s="549">
        <v>111</v>
      </c>
      <c r="K149" s="134">
        <f t="shared" si="21"/>
        <v>7912.9992191575602</v>
      </c>
      <c r="L149" s="412">
        <v>11700</v>
      </c>
      <c r="M149" s="412"/>
      <c r="N149" s="277" t="s">
        <v>775</v>
      </c>
      <c r="O149" s="472">
        <v>42665</v>
      </c>
      <c r="P149" s="495">
        <v>13030</v>
      </c>
      <c r="Q149" s="488">
        <v>800</v>
      </c>
      <c r="R149" s="5">
        <f t="shared" si="25"/>
        <v>10424000</v>
      </c>
    </row>
    <row r="150" spans="1:18" ht="16.5" customHeight="1">
      <c r="A150" s="792">
        <f t="shared" si="23"/>
        <v>17</v>
      </c>
      <c r="B150" s="161" t="s">
        <v>668</v>
      </c>
      <c r="C150" s="472">
        <v>42672</v>
      </c>
      <c r="D150" s="473" t="s">
        <v>761</v>
      </c>
      <c r="E150" s="537">
        <v>63</v>
      </c>
      <c r="F150" s="538">
        <v>42</v>
      </c>
      <c r="G150" s="538">
        <v>29</v>
      </c>
      <c r="H150" s="574">
        <f t="shared" si="24"/>
        <v>1.59</v>
      </c>
      <c r="I150" s="134">
        <f t="shared" si="20"/>
        <v>28.62</v>
      </c>
      <c r="J150" s="549">
        <v>18</v>
      </c>
      <c r="K150" s="134">
        <f t="shared" si="21"/>
        <v>12097.758421596654</v>
      </c>
      <c r="L150" s="412">
        <v>18000</v>
      </c>
      <c r="M150" s="412"/>
      <c r="N150" s="277" t="s">
        <v>860</v>
      </c>
      <c r="O150" s="472">
        <v>42678</v>
      </c>
      <c r="P150" s="495">
        <v>430</v>
      </c>
      <c r="Q150" s="488">
        <v>23500</v>
      </c>
      <c r="R150" s="5">
        <f t="shared" si="25"/>
        <v>10105000</v>
      </c>
    </row>
    <row r="151" spans="1:18" ht="16.5" customHeight="1">
      <c r="A151" s="792">
        <f t="shared" si="23"/>
        <v>18</v>
      </c>
      <c r="B151" s="161" t="s">
        <v>498</v>
      </c>
      <c r="C151" s="472">
        <v>42672</v>
      </c>
      <c r="D151" s="473" t="s">
        <v>761</v>
      </c>
      <c r="E151" s="537">
        <v>47</v>
      </c>
      <c r="F151" s="538">
        <v>42</v>
      </c>
      <c r="G151" s="538">
        <v>25</v>
      </c>
      <c r="H151" s="574">
        <f t="shared" si="24"/>
        <v>1.28</v>
      </c>
      <c r="I151" s="134">
        <f t="shared" si="20"/>
        <v>66.56</v>
      </c>
      <c r="J151" s="549">
        <v>52</v>
      </c>
      <c r="K151" s="134">
        <f t="shared" si="21"/>
        <v>9739.075962040075</v>
      </c>
      <c r="L151" s="412">
        <v>9800</v>
      </c>
      <c r="M151" s="412"/>
      <c r="N151" s="277" t="s">
        <v>862</v>
      </c>
      <c r="O151" s="472">
        <v>42678</v>
      </c>
      <c r="P151" s="495">
        <v>250</v>
      </c>
      <c r="Q151" s="488">
        <v>9000</v>
      </c>
      <c r="R151" s="5">
        <f t="shared" si="25"/>
        <v>2250000</v>
      </c>
    </row>
    <row r="152" spans="1:18" ht="16.5" customHeight="1">
      <c r="A152" s="792">
        <f t="shared" si="23"/>
        <v>19</v>
      </c>
      <c r="B152" s="161" t="s">
        <v>498</v>
      </c>
      <c r="C152" s="472">
        <v>42672</v>
      </c>
      <c r="D152" s="473" t="s">
        <v>762</v>
      </c>
      <c r="E152" s="537">
        <v>47</v>
      </c>
      <c r="F152" s="538">
        <v>42</v>
      </c>
      <c r="G152" s="538">
        <v>25</v>
      </c>
      <c r="H152" s="574">
        <f t="shared" si="24"/>
        <v>1.28</v>
      </c>
      <c r="I152" s="134">
        <f t="shared" si="20"/>
        <v>263.68</v>
      </c>
      <c r="J152" s="549">
        <v>206</v>
      </c>
      <c r="K152" s="134">
        <f t="shared" si="21"/>
        <v>9739.075962040075</v>
      </c>
      <c r="L152" s="412">
        <v>9800</v>
      </c>
      <c r="M152" s="412"/>
      <c r="N152" s="277" t="s">
        <v>862</v>
      </c>
      <c r="O152" s="472">
        <v>42684</v>
      </c>
      <c r="P152" s="495">
        <v>2000</v>
      </c>
      <c r="Q152" s="488">
        <v>9000</v>
      </c>
      <c r="R152" s="5">
        <f t="shared" si="25"/>
        <v>18000000</v>
      </c>
    </row>
    <row r="153" spans="1:18" ht="16.5" customHeight="1">
      <c r="A153" s="792">
        <f t="shared" si="23"/>
        <v>20</v>
      </c>
      <c r="B153" s="161" t="s">
        <v>669</v>
      </c>
      <c r="C153" s="472">
        <v>42672</v>
      </c>
      <c r="D153" s="473" t="s">
        <v>762</v>
      </c>
      <c r="E153" s="537">
        <v>40</v>
      </c>
      <c r="F153" s="538">
        <v>31</v>
      </c>
      <c r="G153" s="538">
        <v>28</v>
      </c>
      <c r="H153" s="574">
        <f t="shared" si="24"/>
        <v>0.91</v>
      </c>
      <c r="I153" s="134">
        <f t="shared" si="20"/>
        <v>300.3</v>
      </c>
      <c r="J153" s="549">
        <v>330</v>
      </c>
      <c r="K153" s="134">
        <f t="shared" si="21"/>
        <v>6923.8743167628654</v>
      </c>
      <c r="L153" s="412">
        <v>7000</v>
      </c>
      <c r="M153" s="412"/>
      <c r="N153" s="277" t="s">
        <v>775</v>
      </c>
      <c r="O153" s="472">
        <v>42688</v>
      </c>
      <c r="P153" s="495">
        <v>18190</v>
      </c>
      <c r="Q153" s="488">
        <v>800</v>
      </c>
      <c r="R153" s="5">
        <f t="shared" si="25"/>
        <v>14552000</v>
      </c>
    </row>
    <row r="154" spans="1:18" ht="16.5" customHeight="1">
      <c r="A154" s="792">
        <f t="shared" si="23"/>
        <v>21</v>
      </c>
      <c r="B154" s="161" t="s">
        <v>670</v>
      </c>
      <c r="C154" s="472">
        <v>42672</v>
      </c>
      <c r="D154" s="473" t="s">
        <v>762</v>
      </c>
      <c r="E154" s="537">
        <v>43</v>
      </c>
      <c r="F154" s="538">
        <v>39</v>
      </c>
      <c r="G154" s="538">
        <v>25</v>
      </c>
      <c r="H154" s="574">
        <f t="shared" si="24"/>
        <v>1.1299999999999999</v>
      </c>
      <c r="I154" s="134">
        <f t="shared" si="20"/>
        <v>25.99</v>
      </c>
      <c r="J154" s="549">
        <v>23</v>
      </c>
      <c r="K154" s="134">
        <f t="shared" si="21"/>
        <v>8597.7779977385017</v>
      </c>
      <c r="L154" s="412">
        <v>8700</v>
      </c>
      <c r="M154" s="412"/>
      <c r="N154" s="277" t="s">
        <v>775</v>
      </c>
      <c r="O154" s="472">
        <v>42698</v>
      </c>
      <c r="P154" s="495">
        <v>17050</v>
      </c>
      <c r="Q154" s="488">
        <v>800</v>
      </c>
      <c r="R154" s="5">
        <f t="shared" si="25"/>
        <v>13640000</v>
      </c>
    </row>
    <row r="155" spans="1:18" ht="16.5" customHeight="1">
      <c r="A155" s="792">
        <f t="shared" si="23"/>
        <v>22</v>
      </c>
      <c r="B155" s="161" t="s">
        <v>671</v>
      </c>
      <c r="C155" s="472">
        <v>42672</v>
      </c>
      <c r="D155" s="473" t="s">
        <v>762</v>
      </c>
      <c r="E155" s="537">
        <v>43</v>
      </c>
      <c r="F155" s="538">
        <v>33</v>
      </c>
      <c r="G155" s="538">
        <v>33</v>
      </c>
      <c r="H155" s="574">
        <f t="shared" si="24"/>
        <v>1.08</v>
      </c>
      <c r="I155" s="134">
        <f t="shared" si="20"/>
        <v>59.400000000000006</v>
      </c>
      <c r="J155" s="549">
        <v>55</v>
      </c>
      <c r="K155" s="134">
        <f t="shared" si="21"/>
        <v>8217.3453429713136</v>
      </c>
      <c r="L155" s="412">
        <v>12300</v>
      </c>
      <c r="M155" s="412"/>
      <c r="N155" s="109" t="s">
        <v>442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6.5" customHeight="1">
      <c r="A156" s="792">
        <f t="shared" si="23"/>
        <v>23</v>
      </c>
      <c r="B156" s="161" t="s">
        <v>672</v>
      </c>
      <c r="C156" s="472">
        <v>42672</v>
      </c>
      <c r="D156" s="473" t="s">
        <v>763</v>
      </c>
      <c r="E156" s="537">
        <v>48</v>
      </c>
      <c r="F156" s="538">
        <v>37</v>
      </c>
      <c r="G156" s="538">
        <v>29</v>
      </c>
      <c r="H156" s="574">
        <f t="shared" si="24"/>
        <v>1.21</v>
      </c>
      <c r="I156" s="134">
        <f t="shared" si="20"/>
        <v>254.1</v>
      </c>
      <c r="J156" s="549">
        <v>210</v>
      </c>
      <c r="K156" s="134">
        <f t="shared" si="21"/>
        <v>9206.4702453660066</v>
      </c>
      <c r="L156" s="412">
        <v>9200</v>
      </c>
      <c r="M156" s="412"/>
      <c r="N156" s="109" t="s">
        <v>442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6.5" customHeight="1">
      <c r="A157" s="792">
        <f t="shared" si="23"/>
        <v>24</v>
      </c>
      <c r="B157" s="161" t="s">
        <v>673</v>
      </c>
      <c r="C157" s="472">
        <v>42672</v>
      </c>
      <c r="D157" s="473" t="s">
        <v>763</v>
      </c>
      <c r="E157" s="537">
        <v>52</v>
      </c>
      <c r="F157" s="538">
        <v>52</v>
      </c>
      <c r="G157" s="538">
        <v>27</v>
      </c>
      <c r="H157" s="574">
        <f t="shared" si="24"/>
        <v>1.75</v>
      </c>
      <c r="I157" s="134">
        <f t="shared" si="20"/>
        <v>280</v>
      </c>
      <c r="J157" s="549">
        <v>160</v>
      </c>
      <c r="K157" s="134">
        <f t="shared" si="21"/>
        <v>13315.142916851664</v>
      </c>
      <c r="L157" s="412">
        <v>19700</v>
      </c>
      <c r="M157" s="412"/>
      <c r="N157" s="109" t="s">
        <v>860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6.5" customHeight="1">
      <c r="A158" s="792">
        <f t="shared" si="23"/>
        <v>25</v>
      </c>
      <c r="B158" s="161" t="s">
        <v>498</v>
      </c>
      <c r="C158" s="472">
        <v>42672</v>
      </c>
      <c r="D158" s="473" t="s">
        <v>763</v>
      </c>
      <c r="E158" s="537">
        <v>47</v>
      </c>
      <c r="F158" s="538">
        <v>42</v>
      </c>
      <c r="G158" s="538">
        <v>25</v>
      </c>
      <c r="H158" s="574">
        <f t="shared" si="24"/>
        <v>1.28</v>
      </c>
      <c r="I158" s="134">
        <f t="shared" si="20"/>
        <v>204.8</v>
      </c>
      <c r="J158" s="549">
        <v>160</v>
      </c>
      <c r="K158" s="134">
        <f t="shared" si="21"/>
        <v>9739.075962040075</v>
      </c>
      <c r="L158" s="412">
        <v>9800</v>
      </c>
      <c r="M158" s="412"/>
      <c r="N158" s="277"/>
      <c r="O158" s="472"/>
      <c r="P158" s="495"/>
      <c r="Q158" s="488"/>
      <c r="R158" s="5"/>
    </row>
    <row r="159" spans="1:18" ht="16.5" customHeight="1">
      <c r="A159" s="792">
        <f t="shared" si="23"/>
        <v>26</v>
      </c>
      <c r="B159" s="161" t="s">
        <v>674</v>
      </c>
      <c r="C159" s="472">
        <v>42672</v>
      </c>
      <c r="D159" s="473" t="s">
        <v>763</v>
      </c>
      <c r="E159" s="537">
        <v>46</v>
      </c>
      <c r="F159" s="538">
        <v>36</v>
      </c>
      <c r="G159" s="538">
        <v>25</v>
      </c>
      <c r="H159" s="574">
        <f t="shared" si="24"/>
        <v>1.08</v>
      </c>
      <c r="I159" s="134">
        <f t="shared" si="20"/>
        <v>172.8</v>
      </c>
      <c r="J159" s="549">
        <v>160</v>
      </c>
      <c r="K159" s="134">
        <f t="shared" si="21"/>
        <v>8217.3453429713136</v>
      </c>
      <c r="L159" s="412">
        <v>8200</v>
      </c>
      <c r="M159" s="412"/>
      <c r="N159" s="525" t="s">
        <v>378</v>
      </c>
      <c r="O159" s="526"/>
      <c r="P159" s="527"/>
      <c r="Q159" s="346"/>
      <c r="R159" s="346">
        <f>SUM(R147:R158)</f>
        <v>122712500</v>
      </c>
    </row>
    <row r="160" spans="1:18" ht="16.5" customHeight="1">
      <c r="A160" s="792">
        <f t="shared" si="23"/>
        <v>27</v>
      </c>
      <c r="B160" s="161" t="s">
        <v>675</v>
      </c>
      <c r="C160" s="472">
        <v>42672</v>
      </c>
      <c r="D160" s="473" t="s">
        <v>763</v>
      </c>
      <c r="E160" s="537">
        <v>45</v>
      </c>
      <c r="F160" s="538">
        <v>42</v>
      </c>
      <c r="G160" s="538">
        <v>25</v>
      </c>
      <c r="H160" s="574">
        <f t="shared" si="24"/>
        <v>1.25</v>
      </c>
      <c r="I160" s="134">
        <f t="shared" si="20"/>
        <v>128.75</v>
      </c>
      <c r="J160" s="549">
        <v>103</v>
      </c>
      <c r="K160" s="134">
        <f t="shared" si="21"/>
        <v>9510.8163691797599</v>
      </c>
      <c r="L160" s="412">
        <v>9500</v>
      </c>
      <c r="M160" s="412"/>
      <c r="N160" s="277" t="s">
        <v>379</v>
      </c>
      <c r="O160" s="472"/>
      <c r="P160" s="495"/>
      <c r="Q160" s="488"/>
      <c r="R160" s="5">
        <f>R146</f>
        <v>748716100</v>
      </c>
    </row>
    <row r="161" spans="1:18" ht="16.5" customHeight="1">
      <c r="A161" s="792">
        <f t="shared" si="23"/>
        <v>28</v>
      </c>
      <c r="B161" s="161" t="s">
        <v>676</v>
      </c>
      <c r="C161" s="472">
        <v>42672</v>
      </c>
      <c r="D161" s="473" t="s">
        <v>763</v>
      </c>
      <c r="E161" s="537">
        <v>48</v>
      </c>
      <c r="F161" s="538">
        <v>42</v>
      </c>
      <c r="G161" s="538">
        <v>29</v>
      </c>
      <c r="H161" s="574">
        <f t="shared" si="24"/>
        <v>1.37</v>
      </c>
      <c r="I161" s="134">
        <f t="shared" si="20"/>
        <v>9.59</v>
      </c>
      <c r="J161" s="549">
        <v>7</v>
      </c>
      <c r="K161" s="134">
        <f t="shared" si="21"/>
        <v>10423.854740621018</v>
      </c>
      <c r="L161" s="412">
        <v>15400</v>
      </c>
      <c r="M161" s="412"/>
      <c r="N161" s="277" t="s">
        <v>380</v>
      </c>
      <c r="O161" s="472"/>
      <c r="P161" s="495"/>
      <c r="Q161" s="488"/>
      <c r="R161" s="5">
        <f>R159</f>
        <v>122712500</v>
      </c>
    </row>
    <row r="162" spans="1:18" ht="16.5" customHeight="1">
      <c r="A162" s="792">
        <f t="shared" si="23"/>
        <v>29</v>
      </c>
      <c r="B162" s="161" t="s">
        <v>677</v>
      </c>
      <c r="C162" s="472">
        <v>42672</v>
      </c>
      <c r="D162" s="473" t="s">
        <v>763</v>
      </c>
      <c r="E162" s="537">
        <v>38</v>
      </c>
      <c r="F162" s="538">
        <v>38</v>
      </c>
      <c r="G162" s="538">
        <v>26</v>
      </c>
      <c r="H162" s="574">
        <f t="shared" si="24"/>
        <v>1.05</v>
      </c>
      <c r="I162" s="134">
        <f t="shared" si="20"/>
        <v>110.25</v>
      </c>
      <c r="J162" s="549">
        <v>105</v>
      </c>
      <c r="K162" s="134">
        <f t="shared" si="21"/>
        <v>7989.0857501109986</v>
      </c>
      <c r="L162" s="412">
        <v>8100</v>
      </c>
      <c r="M162" s="412"/>
      <c r="N162" s="277" t="s">
        <v>382</v>
      </c>
      <c r="O162" s="472"/>
      <c r="P162" s="495"/>
      <c r="Q162" s="488"/>
      <c r="R162" s="5">
        <v>5800000</v>
      </c>
    </row>
    <row r="163" spans="1:18" ht="16.5" customHeight="1">
      <c r="A163" s="792">
        <f t="shared" si="23"/>
        <v>30</v>
      </c>
      <c r="B163" s="161" t="s">
        <v>678</v>
      </c>
      <c r="C163" s="472">
        <v>42672</v>
      </c>
      <c r="D163" s="473" t="s">
        <v>763</v>
      </c>
      <c r="E163" s="537">
        <v>39</v>
      </c>
      <c r="F163" s="538">
        <v>39</v>
      </c>
      <c r="G163" s="538">
        <v>28</v>
      </c>
      <c r="H163" s="574">
        <f t="shared" si="24"/>
        <v>1.1299999999999999</v>
      </c>
      <c r="I163" s="134">
        <f t="shared" si="20"/>
        <v>124.29999999999998</v>
      </c>
      <c r="J163" s="549">
        <v>110</v>
      </c>
      <c r="K163" s="134">
        <f t="shared" si="21"/>
        <v>8597.7779977385017</v>
      </c>
      <c r="L163" s="412">
        <v>6500</v>
      </c>
      <c r="M163" s="412"/>
      <c r="N163" s="277" t="s">
        <v>381</v>
      </c>
      <c r="O163" s="472"/>
      <c r="P163" s="495"/>
      <c r="Q163" s="488"/>
      <c r="R163" s="5">
        <v>13250000</v>
      </c>
    </row>
    <row r="164" spans="1:18" ht="16.5" customHeight="1">
      <c r="A164" s="792">
        <f t="shared" si="23"/>
        <v>31</v>
      </c>
      <c r="B164" s="161" t="s">
        <v>500</v>
      </c>
      <c r="C164" s="472">
        <v>42682</v>
      </c>
      <c r="D164" s="473" t="s">
        <v>764</v>
      </c>
      <c r="E164" s="537">
        <v>45</v>
      </c>
      <c r="F164" s="538">
        <v>37</v>
      </c>
      <c r="G164" s="538">
        <v>27.5</v>
      </c>
      <c r="H164" s="574">
        <f t="shared" si="24"/>
        <v>1.1399999999999999</v>
      </c>
      <c r="I164" s="134">
        <f t="shared" si="20"/>
        <v>341.99999999999994</v>
      </c>
      <c r="J164" s="549">
        <v>300</v>
      </c>
      <c r="K164" s="134">
        <f t="shared" si="21"/>
        <v>8673.86452869194</v>
      </c>
      <c r="L164" s="412">
        <v>13800</v>
      </c>
      <c r="M164" s="412"/>
      <c r="N164" s="277" t="s">
        <v>394</v>
      </c>
      <c r="O164" s="472"/>
      <c r="P164" s="495"/>
      <c r="Q164" s="488"/>
      <c r="R164" s="5">
        <v>41940000</v>
      </c>
    </row>
    <row r="165" spans="1:18" ht="16.5" customHeight="1">
      <c r="A165" s="792">
        <f t="shared" si="23"/>
        <v>32</v>
      </c>
      <c r="B165" s="161" t="s">
        <v>500</v>
      </c>
      <c r="C165" s="472">
        <v>42682</v>
      </c>
      <c r="D165" s="473" t="s">
        <v>764</v>
      </c>
      <c r="E165" s="537">
        <v>45</v>
      </c>
      <c r="F165" s="538">
        <v>37</v>
      </c>
      <c r="G165" s="538">
        <v>27.5</v>
      </c>
      <c r="H165" s="574">
        <f t="shared" si="24"/>
        <v>1.1399999999999999</v>
      </c>
      <c r="I165" s="134">
        <f t="shared" si="20"/>
        <v>2280</v>
      </c>
      <c r="J165" s="549">
        <v>2000</v>
      </c>
      <c r="K165" s="134">
        <f t="shared" si="21"/>
        <v>8673.86452869194</v>
      </c>
      <c r="L165" s="412">
        <v>13800</v>
      </c>
      <c r="M165" s="412"/>
      <c r="N165" s="111"/>
      <c r="O165" s="472"/>
      <c r="P165" s="495"/>
      <c r="Q165" s="488"/>
      <c r="R165" s="5"/>
    </row>
    <row r="166" spans="1:18" ht="16.5" customHeight="1">
      <c r="A166" s="792">
        <f t="shared" si="23"/>
        <v>33</v>
      </c>
      <c r="B166" s="161" t="s">
        <v>679</v>
      </c>
      <c r="C166" s="472">
        <v>42682</v>
      </c>
      <c r="D166" s="473" t="s">
        <v>764</v>
      </c>
      <c r="E166" s="537">
        <v>44</v>
      </c>
      <c r="F166" s="497">
        <v>20</v>
      </c>
      <c r="G166" s="497"/>
      <c r="H166" s="574">
        <f t="shared" si="24"/>
        <v>0.09</v>
      </c>
      <c r="I166" s="134">
        <f t="shared" ref="I166:I197" si="26">H166*J166</f>
        <v>414</v>
      </c>
      <c r="J166" s="549">
        <v>4600</v>
      </c>
      <c r="K166" s="134">
        <f t="shared" ref="K166:K197" si="27">H166*$R$170</f>
        <v>684.77877858094269</v>
      </c>
      <c r="L166" s="412">
        <v>1300</v>
      </c>
      <c r="M166" s="412"/>
      <c r="N166" s="277"/>
      <c r="O166" s="472"/>
      <c r="P166" s="495"/>
      <c r="Q166" s="488"/>
      <c r="R166" s="5"/>
    </row>
    <row r="167" spans="1:18" ht="16.5" customHeight="1">
      <c r="A167" s="792">
        <f t="shared" si="23"/>
        <v>34</v>
      </c>
      <c r="B167" s="161" t="s">
        <v>680</v>
      </c>
      <c r="C167" s="472">
        <v>42682</v>
      </c>
      <c r="D167" s="473" t="s">
        <v>765</v>
      </c>
      <c r="E167" s="537">
        <v>60</v>
      </c>
      <c r="F167" s="538">
        <v>35</v>
      </c>
      <c r="G167" s="538">
        <v>30</v>
      </c>
      <c r="H167" s="574">
        <f t="shared" si="24"/>
        <v>1.33</v>
      </c>
      <c r="I167" s="134">
        <f t="shared" si="26"/>
        <v>8019.9000000000005</v>
      </c>
      <c r="J167" s="549">
        <v>6030</v>
      </c>
      <c r="K167" s="134">
        <f t="shared" si="27"/>
        <v>10119.508616807265</v>
      </c>
      <c r="L167" s="412">
        <v>13800</v>
      </c>
      <c r="M167" s="412"/>
      <c r="N167" s="525" t="s">
        <v>391</v>
      </c>
      <c r="O167" s="526"/>
      <c r="P167" s="527"/>
      <c r="Q167" s="346"/>
      <c r="R167" s="346">
        <f>SUM(R160:R166)</f>
        <v>932418600</v>
      </c>
    </row>
    <row r="168" spans="1:18" ht="16.5" customHeight="1">
      <c r="A168" s="792">
        <f t="shared" si="23"/>
        <v>35</v>
      </c>
      <c r="B168" s="161" t="s">
        <v>690</v>
      </c>
      <c r="C168" s="472">
        <v>42683</v>
      </c>
      <c r="D168" s="473" t="s">
        <v>766</v>
      </c>
      <c r="E168" s="537">
        <v>52</v>
      </c>
      <c r="F168" s="538">
        <v>25</v>
      </c>
      <c r="G168" s="538">
        <v>25</v>
      </c>
      <c r="H168" s="574">
        <f t="shared" si="24"/>
        <v>0.84</v>
      </c>
      <c r="I168" s="134">
        <f t="shared" si="26"/>
        <v>267.12</v>
      </c>
      <c r="J168" s="549">
        <v>318</v>
      </c>
      <c r="K168" s="134">
        <f t="shared" si="27"/>
        <v>6391.2686000887979</v>
      </c>
      <c r="L168" s="412">
        <v>5800</v>
      </c>
      <c r="M168" s="412"/>
      <c r="N168" s="278"/>
      <c r="O168" s="480"/>
      <c r="P168" s="496"/>
      <c r="Q168" s="470"/>
      <c r="R168" s="482"/>
    </row>
    <row r="169" spans="1:18" ht="16.5" customHeight="1">
      <c r="A169" s="792">
        <f t="shared" si="23"/>
        <v>36</v>
      </c>
      <c r="B169" s="161" t="s">
        <v>538</v>
      </c>
      <c r="C169" s="472">
        <v>42683</v>
      </c>
      <c r="D169" s="473" t="s">
        <v>766</v>
      </c>
      <c r="E169" s="537">
        <v>52</v>
      </c>
      <c r="F169" s="538">
        <v>28</v>
      </c>
      <c r="G169" s="538">
        <v>28</v>
      </c>
      <c r="H169" s="574">
        <f t="shared" si="24"/>
        <v>0.97</v>
      </c>
      <c r="I169" s="134">
        <f t="shared" si="26"/>
        <v>504.4</v>
      </c>
      <c r="J169" s="549">
        <v>520</v>
      </c>
      <c r="K169" s="134">
        <f t="shared" si="27"/>
        <v>7380.3935024834936</v>
      </c>
      <c r="L169" s="412">
        <v>6400</v>
      </c>
      <c r="M169" s="412"/>
      <c r="N169" s="278"/>
      <c r="O169" s="480"/>
      <c r="P169" s="496"/>
      <c r="Q169" s="470"/>
      <c r="R169" s="482"/>
    </row>
    <row r="170" spans="1:18" ht="16.5" customHeight="1">
      <c r="A170" s="792">
        <f t="shared" si="23"/>
        <v>37</v>
      </c>
      <c r="B170" s="161" t="s">
        <v>811</v>
      </c>
      <c r="C170" s="472">
        <v>42683</v>
      </c>
      <c r="D170" s="473" t="s">
        <v>809</v>
      </c>
      <c r="E170" s="537">
        <v>50</v>
      </c>
      <c r="F170" s="538">
        <v>29.5</v>
      </c>
      <c r="G170" s="538">
        <v>19</v>
      </c>
      <c r="H170" s="574">
        <f t="shared" si="24"/>
        <v>0.84</v>
      </c>
      <c r="I170" s="134">
        <f t="shared" si="26"/>
        <v>3360</v>
      </c>
      <c r="J170" s="549">
        <v>4000</v>
      </c>
      <c r="K170" s="134">
        <f t="shared" si="27"/>
        <v>6391.2686000887979</v>
      </c>
      <c r="L170" s="412">
        <v>4500</v>
      </c>
      <c r="M170" s="412"/>
      <c r="N170" s="938" t="s">
        <v>392</v>
      </c>
      <c r="O170" s="939"/>
      <c r="P170" s="939"/>
      <c r="Q170" s="940"/>
      <c r="R170" s="530">
        <f>R167/I273</f>
        <v>7608.6530953438078</v>
      </c>
    </row>
    <row r="171" spans="1:18" ht="16.5" customHeight="1">
      <c r="A171" s="792">
        <f t="shared" si="23"/>
        <v>38</v>
      </c>
      <c r="B171" s="161" t="s">
        <v>811</v>
      </c>
      <c r="C171" s="472">
        <v>42684</v>
      </c>
      <c r="D171" s="473" t="s">
        <v>810</v>
      </c>
      <c r="E171" s="537">
        <v>50</v>
      </c>
      <c r="F171" s="538">
        <v>29.5</v>
      </c>
      <c r="G171" s="538">
        <v>19</v>
      </c>
      <c r="H171" s="574">
        <f t="shared" si="24"/>
        <v>0.84</v>
      </c>
      <c r="I171" s="134">
        <f t="shared" si="26"/>
        <v>3360</v>
      </c>
      <c r="J171" s="549">
        <v>4000</v>
      </c>
      <c r="K171" s="134">
        <f t="shared" si="27"/>
        <v>6391.2686000887979</v>
      </c>
      <c r="L171" s="412">
        <v>4500</v>
      </c>
      <c r="M171" s="412"/>
      <c r="N171" s="455"/>
      <c r="O171" s="455"/>
      <c r="P171" s="455"/>
      <c r="Q171" s="455"/>
      <c r="R171" s="455"/>
    </row>
    <row r="172" spans="1:18" ht="16.5" customHeight="1">
      <c r="A172" s="792">
        <f t="shared" si="23"/>
        <v>39</v>
      </c>
      <c r="B172" s="161" t="s">
        <v>683</v>
      </c>
      <c r="C172" s="472">
        <v>42693</v>
      </c>
      <c r="D172" s="473" t="s">
        <v>767</v>
      </c>
      <c r="E172" s="537">
        <v>47</v>
      </c>
      <c r="F172" s="538">
        <v>47</v>
      </c>
      <c r="G172" s="538">
        <v>52</v>
      </c>
      <c r="H172" s="574">
        <f t="shared" si="24"/>
        <v>1.97</v>
      </c>
      <c r="I172" s="134">
        <f t="shared" si="26"/>
        <v>45.31</v>
      </c>
      <c r="J172" s="549">
        <v>23</v>
      </c>
      <c r="K172" s="134">
        <f t="shared" si="27"/>
        <v>14989.046597827301</v>
      </c>
      <c r="L172" s="412">
        <v>16070</v>
      </c>
      <c r="M172" s="412"/>
      <c r="N172" s="455"/>
      <c r="O172" s="455"/>
      <c r="P172" s="455"/>
      <c r="Q172" s="455"/>
      <c r="R172" s="455"/>
    </row>
    <row r="173" spans="1:18" ht="16.5" customHeight="1">
      <c r="A173" s="792">
        <f t="shared" si="23"/>
        <v>40</v>
      </c>
      <c r="B173" s="161" t="s">
        <v>496</v>
      </c>
      <c r="C173" s="472">
        <v>42693</v>
      </c>
      <c r="D173" s="473" t="s">
        <v>767</v>
      </c>
      <c r="E173" s="537">
        <v>103</v>
      </c>
      <c r="F173" s="538">
        <v>54</v>
      </c>
      <c r="G173" s="538">
        <v>180</v>
      </c>
      <c r="H173" s="574">
        <f t="shared" si="24"/>
        <v>7.56</v>
      </c>
      <c r="I173" s="134">
        <f t="shared" si="26"/>
        <v>476.28</v>
      </c>
      <c r="J173" s="549">
        <v>63</v>
      </c>
      <c r="K173" s="134">
        <f t="shared" si="27"/>
        <v>57521.417400799182</v>
      </c>
      <c r="L173" s="412">
        <v>75276</v>
      </c>
      <c r="M173" s="412"/>
      <c r="N173" s="455"/>
      <c r="O173" s="455"/>
      <c r="P173" s="455"/>
      <c r="Q173" s="455"/>
      <c r="R173" s="455"/>
    </row>
    <row r="174" spans="1:18" ht="16.5" customHeight="1">
      <c r="A174" s="792">
        <f t="shared" si="23"/>
        <v>41</v>
      </c>
      <c r="B174" s="161" t="s">
        <v>684</v>
      </c>
      <c r="C174" s="472">
        <v>42693</v>
      </c>
      <c r="D174" s="473" t="s">
        <v>767</v>
      </c>
      <c r="E174" s="537">
        <v>58</v>
      </c>
      <c r="F174" s="538">
        <v>57</v>
      </c>
      <c r="G174" s="538">
        <v>95</v>
      </c>
      <c r="H174" s="574">
        <f t="shared" si="24"/>
        <v>3.64</v>
      </c>
      <c r="I174" s="134">
        <f t="shared" si="26"/>
        <v>98.28</v>
      </c>
      <c r="J174" s="549">
        <v>27</v>
      </c>
      <c r="K174" s="134">
        <f t="shared" si="27"/>
        <v>27695.497267051462</v>
      </c>
      <c r="L174" s="412">
        <v>29954</v>
      </c>
      <c r="M174" s="412"/>
      <c r="N174" s="455"/>
      <c r="O174" s="455"/>
      <c r="P174" s="455"/>
      <c r="Q174" s="455"/>
      <c r="R174" s="455"/>
    </row>
    <row r="175" spans="1:18" ht="16.5" customHeight="1">
      <c r="A175" s="792">
        <f t="shared" si="23"/>
        <v>42</v>
      </c>
      <c r="B175" s="161" t="s">
        <v>685</v>
      </c>
      <c r="C175" s="472">
        <v>42693</v>
      </c>
      <c r="D175" s="473" t="s">
        <v>767</v>
      </c>
      <c r="E175" s="537">
        <v>58</v>
      </c>
      <c r="F175" s="538">
        <v>57</v>
      </c>
      <c r="G175" s="538">
        <v>81</v>
      </c>
      <c r="H175" s="574">
        <f t="shared" si="24"/>
        <v>3.31</v>
      </c>
      <c r="I175" s="134">
        <f t="shared" si="26"/>
        <v>89.37</v>
      </c>
      <c r="J175" s="549">
        <v>27</v>
      </c>
      <c r="K175" s="134">
        <f t="shared" si="27"/>
        <v>25184.641745588004</v>
      </c>
      <c r="L175" s="412">
        <v>27926</v>
      </c>
      <c r="M175" s="412"/>
      <c r="N175" s="455"/>
      <c r="O175" s="455"/>
      <c r="P175" s="455"/>
      <c r="Q175" s="455"/>
      <c r="R175" s="455"/>
    </row>
    <row r="176" spans="1:18" ht="16.5" customHeight="1">
      <c r="A176" s="792">
        <f t="shared" si="23"/>
        <v>43</v>
      </c>
      <c r="B176" s="161" t="s">
        <v>686</v>
      </c>
      <c r="C176" s="472">
        <v>42693</v>
      </c>
      <c r="D176" s="473" t="s">
        <v>767</v>
      </c>
      <c r="E176" s="537">
        <v>67</v>
      </c>
      <c r="F176" s="538">
        <v>62</v>
      </c>
      <c r="G176" s="538">
        <v>114</v>
      </c>
      <c r="H176" s="574">
        <f t="shared" si="24"/>
        <v>4.71</v>
      </c>
      <c r="I176" s="134">
        <f t="shared" si="26"/>
        <v>122.46</v>
      </c>
      <c r="J176" s="549">
        <v>26</v>
      </c>
      <c r="K176" s="134">
        <f t="shared" si="27"/>
        <v>35836.756079069331</v>
      </c>
      <c r="L176" s="412">
        <v>42230</v>
      </c>
      <c r="M176" s="412"/>
      <c r="N176" s="455"/>
      <c r="O176" s="455"/>
      <c r="P176" s="455"/>
      <c r="Q176" s="455"/>
      <c r="R176" s="455"/>
    </row>
    <row r="177" spans="1:18" ht="16.5" customHeight="1">
      <c r="A177" s="792">
        <f t="shared" si="23"/>
        <v>44</v>
      </c>
      <c r="B177" s="161" t="s">
        <v>687</v>
      </c>
      <c r="C177" s="472">
        <v>42693</v>
      </c>
      <c r="D177" s="473" t="s">
        <v>767</v>
      </c>
      <c r="E177" s="537">
        <v>58</v>
      </c>
      <c r="F177" s="538">
        <v>57</v>
      </c>
      <c r="G177" s="538">
        <v>62</v>
      </c>
      <c r="H177" s="574">
        <f t="shared" si="24"/>
        <v>2.87</v>
      </c>
      <c r="I177" s="134">
        <f t="shared" si="26"/>
        <v>60.27</v>
      </c>
      <c r="J177" s="549">
        <v>21</v>
      </c>
      <c r="K177" s="134">
        <f t="shared" si="27"/>
        <v>21836.834383636728</v>
      </c>
      <c r="L177" s="412">
        <v>21839</v>
      </c>
      <c r="M177" s="412"/>
      <c r="N177" s="455"/>
      <c r="O177" s="455"/>
      <c r="P177" s="455"/>
      <c r="Q177" s="455"/>
      <c r="R177" s="455"/>
    </row>
    <row r="178" spans="1:18" ht="16.5" customHeight="1">
      <c r="A178" s="792">
        <f t="shared" si="23"/>
        <v>45</v>
      </c>
      <c r="B178" s="161" t="s">
        <v>957</v>
      </c>
      <c r="C178" s="472">
        <v>42694</v>
      </c>
      <c r="D178" s="473" t="s">
        <v>436</v>
      </c>
      <c r="E178" s="537">
        <v>82</v>
      </c>
      <c r="F178" s="538">
        <v>37.5</v>
      </c>
      <c r="G178" s="538">
        <v>11.2</v>
      </c>
      <c r="H178" s="574">
        <f t="shared" si="24"/>
        <v>1.26</v>
      </c>
      <c r="I178" s="134">
        <f t="shared" si="26"/>
        <v>1965.6</v>
      </c>
      <c r="J178" s="549">
        <v>1560</v>
      </c>
      <c r="K178" s="134">
        <f t="shared" si="27"/>
        <v>9586.9029001331983</v>
      </c>
      <c r="L178" s="412">
        <v>8813</v>
      </c>
      <c r="M178" s="412"/>
      <c r="N178" s="455"/>
      <c r="O178" s="455"/>
      <c r="P178" s="455"/>
      <c r="Q178" s="455"/>
      <c r="R178" s="455"/>
    </row>
    <row r="179" spans="1:18" ht="16.5" customHeight="1">
      <c r="A179" s="792">
        <f t="shared" si="23"/>
        <v>46</v>
      </c>
      <c r="B179" s="161" t="s">
        <v>811</v>
      </c>
      <c r="C179" s="472">
        <v>42693</v>
      </c>
      <c r="D179" s="473" t="s">
        <v>813</v>
      </c>
      <c r="E179" s="537">
        <v>50</v>
      </c>
      <c r="F179" s="538">
        <v>29.5</v>
      </c>
      <c r="G179" s="538">
        <v>19</v>
      </c>
      <c r="H179" s="574">
        <f t="shared" si="24"/>
        <v>0.84</v>
      </c>
      <c r="I179" s="134">
        <f t="shared" si="26"/>
        <v>3360</v>
      </c>
      <c r="J179" s="549">
        <v>4000</v>
      </c>
      <c r="K179" s="134">
        <f t="shared" si="27"/>
        <v>6391.2686000887979</v>
      </c>
      <c r="L179" s="412">
        <v>4500</v>
      </c>
      <c r="M179" s="412"/>
      <c r="N179" s="455"/>
      <c r="O179" s="455"/>
      <c r="P179" s="455"/>
      <c r="Q179" s="455"/>
      <c r="R179" s="455"/>
    </row>
    <row r="180" spans="1:18" ht="16.5" customHeight="1">
      <c r="A180" s="792">
        <f t="shared" si="23"/>
        <v>47</v>
      </c>
      <c r="B180" s="161" t="s">
        <v>682</v>
      </c>
      <c r="C180" s="472">
        <v>42696</v>
      </c>
      <c r="D180" s="473" t="s">
        <v>768</v>
      </c>
      <c r="E180" s="537">
        <v>51.5</v>
      </c>
      <c r="F180" s="538">
        <v>39.5</v>
      </c>
      <c r="G180" s="538">
        <v>38.5</v>
      </c>
      <c r="H180" s="574">
        <f t="shared" si="24"/>
        <v>1.51</v>
      </c>
      <c r="I180" s="134">
        <f t="shared" si="26"/>
        <v>918.08</v>
      </c>
      <c r="J180" s="549">
        <v>608</v>
      </c>
      <c r="K180" s="134">
        <f t="shared" si="27"/>
        <v>11489.06617396915</v>
      </c>
      <c r="L180" s="412">
        <v>20750</v>
      </c>
      <c r="M180" s="412"/>
      <c r="N180" s="455"/>
      <c r="O180" s="455"/>
      <c r="P180" s="455"/>
      <c r="Q180" s="455"/>
      <c r="R180" s="455"/>
    </row>
    <row r="181" spans="1:18" ht="16.5" customHeight="1">
      <c r="A181" s="792">
        <f t="shared" si="23"/>
        <v>48</v>
      </c>
      <c r="B181" s="161" t="s">
        <v>811</v>
      </c>
      <c r="C181" s="472">
        <v>42697</v>
      </c>
      <c r="D181" s="473" t="s">
        <v>814</v>
      </c>
      <c r="E181" s="537">
        <v>50</v>
      </c>
      <c r="F181" s="538">
        <v>29.5</v>
      </c>
      <c r="G181" s="538">
        <v>19</v>
      </c>
      <c r="H181" s="574">
        <f t="shared" si="24"/>
        <v>0.84</v>
      </c>
      <c r="I181" s="134">
        <f t="shared" si="26"/>
        <v>2816.52</v>
      </c>
      <c r="J181" s="549">
        <v>3353</v>
      </c>
      <c r="K181" s="134">
        <f t="shared" si="27"/>
        <v>6391.2686000887979</v>
      </c>
      <c r="L181" s="412">
        <v>4500</v>
      </c>
      <c r="M181" s="412"/>
      <c r="N181" s="455"/>
      <c r="O181" s="455"/>
      <c r="P181" s="455"/>
      <c r="Q181" s="455"/>
      <c r="R181" s="455"/>
    </row>
    <row r="182" spans="1:18" ht="16.5" customHeight="1">
      <c r="A182" s="792">
        <f t="shared" si="23"/>
        <v>49</v>
      </c>
      <c r="B182" s="161" t="s">
        <v>689</v>
      </c>
      <c r="C182" s="472">
        <v>42703</v>
      </c>
      <c r="D182" s="473" t="s">
        <v>769</v>
      </c>
      <c r="E182" s="537">
        <v>37.5</v>
      </c>
      <c r="F182" s="538">
        <v>25.3</v>
      </c>
      <c r="G182" s="538">
        <v>23.9</v>
      </c>
      <c r="H182" s="574">
        <f t="shared" si="24"/>
        <v>0.68</v>
      </c>
      <c r="I182" s="134">
        <f t="shared" si="26"/>
        <v>693.6</v>
      </c>
      <c r="J182" s="549">
        <v>1020</v>
      </c>
      <c r="K182" s="134">
        <f t="shared" si="27"/>
        <v>5173.8841048337899</v>
      </c>
      <c r="L182" s="412">
        <v>5900</v>
      </c>
      <c r="M182" s="412"/>
      <c r="N182" s="455"/>
      <c r="O182" s="455"/>
      <c r="P182" s="455"/>
      <c r="Q182" s="455"/>
      <c r="R182" s="455"/>
    </row>
    <row r="183" spans="1:18" ht="16.5" customHeight="1">
      <c r="A183" s="792">
        <f t="shared" si="23"/>
        <v>50</v>
      </c>
      <c r="B183" s="161" t="s">
        <v>691</v>
      </c>
      <c r="C183" s="472">
        <v>42703</v>
      </c>
      <c r="D183" s="473" t="s">
        <v>770</v>
      </c>
      <c r="E183" s="537">
        <v>123</v>
      </c>
      <c r="F183" s="538">
        <v>63</v>
      </c>
      <c r="G183" s="538">
        <v>186</v>
      </c>
      <c r="H183" s="574">
        <f t="shared" si="24"/>
        <v>9.5</v>
      </c>
      <c r="I183" s="134">
        <f t="shared" si="26"/>
        <v>237.5</v>
      </c>
      <c r="J183" s="549">
        <v>25</v>
      </c>
      <c r="K183" s="134">
        <f t="shared" si="27"/>
        <v>72282.20440576617</v>
      </c>
      <c r="L183" s="412">
        <v>56000</v>
      </c>
      <c r="M183" s="412"/>
      <c r="N183" s="455"/>
      <c r="O183" s="455"/>
      <c r="P183" s="455"/>
      <c r="Q183" s="455"/>
      <c r="R183" s="455"/>
    </row>
    <row r="184" spans="1:18" ht="16.5" customHeight="1">
      <c r="A184" s="792">
        <f t="shared" si="23"/>
        <v>51</v>
      </c>
      <c r="B184" s="161" t="s">
        <v>692</v>
      </c>
      <c r="C184" s="472">
        <v>42703</v>
      </c>
      <c r="D184" s="473" t="s">
        <v>770</v>
      </c>
      <c r="E184" s="537">
        <v>123</v>
      </c>
      <c r="F184" s="538">
        <v>63</v>
      </c>
      <c r="G184" s="538">
        <v>138</v>
      </c>
      <c r="H184" s="574">
        <f t="shared" si="24"/>
        <v>7.69</v>
      </c>
      <c r="I184" s="134">
        <f t="shared" si="26"/>
        <v>38.450000000000003</v>
      </c>
      <c r="J184" s="549">
        <v>5</v>
      </c>
      <c r="K184" s="134">
        <f t="shared" si="27"/>
        <v>58510.542303193884</v>
      </c>
      <c r="L184" s="412">
        <v>53000</v>
      </c>
      <c r="M184" s="412"/>
      <c r="N184" s="455"/>
      <c r="O184" s="455"/>
      <c r="P184" s="455"/>
      <c r="Q184" s="455"/>
      <c r="R184" s="455"/>
    </row>
    <row r="185" spans="1:18" ht="16.5" customHeight="1">
      <c r="A185" s="792">
        <f t="shared" si="23"/>
        <v>52</v>
      </c>
      <c r="B185" s="161" t="s">
        <v>693</v>
      </c>
      <c r="C185" s="472">
        <v>42703</v>
      </c>
      <c r="D185" s="473" t="s">
        <v>770</v>
      </c>
      <c r="E185" s="537">
        <v>142</v>
      </c>
      <c r="F185" s="538">
        <v>72</v>
      </c>
      <c r="G185" s="538">
        <v>58</v>
      </c>
      <c r="H185" s="574">
        <f t="shared" si="24"/>
        <v>5.76</v>
      </c>
      <c r="I185" s="134">
        <f t="shared" si="26"/>
        <v>576</v>
      </c>
      <c r="J185" s="549">
        <v>100</v>
      </c>
      <c r="K185" s="134">
        <f t="shared" si="27"/>
        <v>43825.841829180332</v>
      </c>
      <c r="L185" s="412">
        <v>30237</v>
      </c>
      <c r="M185" s="412"/>
      <c r="N185" s="455"/>
      <c r="O185" s="455"/>
      <c r="P185" s="455"/>
      <c r="Q185" s="455"/>
      <c r="R185" s="455"/>
    </row>
    <row r="186" spans="1:18" ht="16.5" customHeight="1">
      <c r="A186" s="792">
        <f t="shared" si="23"/>
        <v>53</v>
      </c>
      <c r="B186" s="161" t="s">
        <v>694</v>
      </c>
      <c r="C186" s="472">
        <v>42703</v>
      </c>
      <c r="D186" s="473" t="s">
        <v>770</v>
      </c>
      <c r="E186" s="537">
        <v>162</v>
      </c>
      <c r="F186" s="538">
        <v>64</v>
      </c>
      <c r="G186" s="538">
        <v>178</v>
      </c>
      <c r="H186" s="574">
        <f t="shared" si="24"/>
        <v>11.2</v>
      </c>
      <c r="I186" s="134">
        <f t="shared" si="26"/>
        <v>134.39999999999998</v>
      </c>
      <c r="J186" s="549">
        <v>12</v>
      </c>
      <c r="K186" s="134">
        <f t="shared" si="27"/>
        <v>85216.914667850637</v>
      </c>
      <c r="L186" s="412">
        <v>75900</v>
      </c>
      <c r="M186" s="412"/>
      <c r="N186" s="455"/>
      <c r="O186" s="455"/>
      <c r="P186" s="455"/>
      <c r="Q186" s="455"/>
      <c r="R186" s="455"/>
    </row>
    <row r="187" spans="1:18" ht="16.5" customHeight="1">
      <c r="A187" s="792">
        <f t="shared" si="23"/>
        <v>54</v>
      </c>
      <c r="B187" s="161" t="s">
        <v>811</v>
      </c>
      <c r="C187" s="472">
        <v>42705</v>
      </c>
      <c r="D187" s="473" t="s">
        <v>774</v>
      </c>
      <c r="E187" s="537">
        <v>50</v>
      </c>
      <c r="F187" s="538">
        <v>29.5</v>
      </c>
      <c r="G187" s="538">
        <v>19</v>
      </c>
      <c r="H187" s="574">
        <f t="shared" si="24"/>
        <v>0.84</v>
      </c>
      <c r="I187" s="134">
        <f t="shared" si="26"/>
        <v>2016</v>
      </c>
      <c r="J187" s="549">
        <v>2400</v>
      </c>
      <c r="K187" s="134">
        <f t="shared" si="27"/>
        <v>6391.2686000887979</v>
      </c>
      <c r="L187" s="412">
        <v>7500</v>
      </c>
      <c r="M187" s="412"/>
      <c r="N187" s="455"/>
      <c r="O187" s="455"/>
      <c r="P187" s="455"/>
      <c r="Q187" s="455"/>
      <c r="R187" s="455"/>
    </row>
    <row r="188" spans="1:18" ht="16.5" customHeight="1">
      <c r="A188" s="792">
        <f t="shared" si="23"/>
        <v>55</v>
      </c>
      <c r="B188" s="161" t="s">
        <v>811</v>
      </c>
      <c r="C188" s="472">
        <v>42706</v>
      </c>
      <c r="D188" s="473" t="s">
        <v>822</v>
      </c>
      <c r="E188" s="537">
        <v>50</v>
      </c>
      <c r="F188" s="538">
        <v>29.5</v>
      </c>
      <c r="G188" s="538">
        <v>19</v>
      </c>
      <c r="H188" s="574">
        <f t="shared" si="24"/>
        <v>0.84</v>
      </c>
      <c r="I188" s="134">
        <f t="shared" si="26"/>
        <v>1344</v>
      </c>
      <c r="J188" s="549">
        <v>1600</v>
      </c>
      <c r="K188" s="134">
        <f t="shared" si="27"/>
        <v>6391.2686000887979</v>
      </c>
      <c r="L188" s="412">
        <v>7500</v>
      </c>
      <c r="M188" s="412"/>
      <c r="N188" s="455"/>
      <c r="O188" s="455"/>
      <c r="P188" s="455"/>
      <c r="Q188" s="455"/>
      <c r="R188" s="455"/>
    </row>
    <row r="189" spans="1:18" ht="16.5" customHeight="1">
      <c r="A189" s="792">
        <f t="shared" si="23"/>
        <v>56</v>
      </c>
      <c r="B189" s="161" t="s">
        <v>811</v>
      </c>
      <c r="C189" s="472">
        <v>42707</v>
      </c>
      <c r="D189" s="473" t="s">
        <v>823</v>
      </c>
      <c r="E189" s="537">
        <v>50</v>
      </c>
      <c r="F189" s="538">
        <v>29.5</v>
      </c>
      <c r="G189" s="538">
        <v>19</v>
      </c>
      <c r="H189" s="574">
        <f t="shared" si="24"/>
        <v>0.84</v>
      </c>
      <c r="I189" s="134">
        <f t="shared" si="26"/>
        <v>3360</v>
      </c>
      <c r="J189" s="549">
        <v>4000</v>
      </c>
      <c r="K189" s="134">
        <f t="shared" si="27"/>
        <v>6391.2686000887979</v>
      </c>
      <c r="L189" s="412">
        <v>4500</v>
      </c>
      <c r="M189" s="412"/>
      <c r="N189" s="455"/>
      <c r="O189" s="455"/>
      <c r="P189" s="455"/>
      <c r="Q189" s="455"/>
      <c r="R189" s="455"/>
    </row>
    <row r="190" spans="1:18" ht="16.5" customHeight="1">
      <c r="A190" s="792">
        <f t="shared" si="23"/>
        <v>57</v>
      </c>
      <c r="B190" s="161" t="s">
        <v>825</v>
      </c>
      <c r="C190" s="472">
        <v>42708</v>
      </c>
      <c r="D190" s="473" t="s">
        <v>824</v>
      </c>
      <c r="E190" s="537">
        <v>54</v>
      </c>
      <c r="F190" s="538">
        <v>28</v>
      </c>
      <c r="G190" s="538">
        <v>27</v>
      </c>
      <c r="H190" s="574">
        <f t="shared" si="24"/>
        <v>0.98</v>
      </c>
      <c r="I190" s="134">
        <f t="shared" si="26"/>
        <v>6030.92</v>
      </c>
      <c r="J190" s="549">
        <v>6154</v>
      </c>
      <c r="K190" s="134">
        <f t="shared" si="27"/>
        <v>7456.4800334369311</v>
      </c>
      <c r="L190" s="412">
        <v>16700</v>
      </c>
      <c r="M190" s="412"/>
      <c r="N190" s="455"/>
      <c r="O190" s="455"/>
      <c r="P190" s="455"/>
      <c r="Q190" s="455"/>
      <c r="R190" s="455"/>
    </row>
    <row r="191" spans="1:18" ht="16.5" customHeight="1">
      <c r="A191" s="792">
        <f t="shared" si="23"/>
        <v>58</v>
      </c>
      <c r="B191" s="161" t="s">
        <v>826</v>
      </c>
      <c r="C191" s="472">
        <v>42708</v>
      </c>
      <c r="D191" s="473" t="s">
        <v>824</v>
      </c>
      <c r="E191" s="537">
        <v>56</v>
      </c>
      <c r="F191" s="538">
        <v>32</v>
      </c>
      <c r="G191" s="538">
        <v>30</v>
      </c>
      <c r="H191" s="574">
        <f t="shared" si="24"/>
        <v>1.18</v>
      </c>
      <c r="I191" s="134">
        <f t="shared" si="26"/>
        <v>1036.04</v>
      </c>
      <c r="J191" s="549">
        <v>878</v>
      </c>
      <c r="K191" s="134">
        <f t="shared" si="27"/>
        <v>8978.2106525056934</v>
      </c>
      <c r="L191" s="412">
        <v>19400</v>
      </c>
      <c r="M191" s="412"/>
      <c r="N191" s="455"/>
      <c r="O191" s="455"/>
      <c r="P191" s="455"/>
      <c r="Q191" s="455"/>
      <c r="R191" s="455"/>
    </row>
    <row r="192" spans="1:18" ht="16.5" customHeight="1">
      <c r="A192" s="792">
        <f t="shared" si="23"/>
        <v>59</v>
      </c>
      <c r="B192" s="161" t="s">
        <v>811</v>
      </c>
      <c r="C192" s="472">
        <v>42709</v>
      </c>
      <c r="D192" s="473" t="s">
        <v>827</v>
      </c>
      <c r="E192" s="537">
        <v>50</v>
      </c>
      <c r="F192" s="538">
        <v>29.5</v>
      </c>
      <c r="G192" s="538">
        <v>19</v>
      </c>
      <c r="H192" s="574">
        <f t="shared" si="24"/>
        <v>0.84</v>
      </c>
      <c r="I192" s="134">
        <f t="shared" si="26"/>
        <v>2016</v>
      </c>
      <c r="J192" s="549">
        <v>2400</v>
      </c>
      <c r="K192" s="134">
        <f t="shared" si="27"/>
        <v>6391.2686000887979</v>
      </c>
      <c r="L192" s="412">
        <v>7500</v>
      </c>
      <c r="M192" s="412"/>
      <c r="N192" s="455"/>
      <c r="O192" s="455"/>
      <c r="P192" s="455"/>
      <c r="Q192" s="455"/>
      <c r="R192" s="455"/>
    </row>
    <row r="193" spans="1:18" ht="16.5" customHeight="1">
      <c r="A193" s="792">
        <f t="shared" si="23"/>
        <v>60</v>
      </c>
      <c r="B193" s="161" t="s">
        <v>811</v>
      </c>
      <c r="C193" s="472">
        <v>42710</v>
      </c>
      <c r="D193" s="473" t="s">
        <v>828</v>
      </c>
      <c r="E193" s="537">
        <v>50</v>
      </c>
      <c r="F193" s="538">
        <v>29.5</v>
      </c>
      <c r="G193" s="538">
        <v>19</v>
      </c>
      <c r="H193" s="574">
        <f t="shared" si="24"/>
        <v>0.84</v>
      </c>
      <c r="I193" s="134">
        <f t="shared" si="26"/>
        <v>2016</v>
      </c>
      <c r="J193" s="549">
        <v>2400</v>
      </c>
      <c r="K193" s="134">
        <f t="shared" si="27"/>
        <v>6391.2686000887979</v>
      </c>
      <c r="L193" s="412">
        <v>7500</v>
      </c>
      <c r="M193" s="412"/>
      <c r="N193" s="455"/>
      <c r="O193" s="455"/>
      <c r="P193" s="455"/>
      <c r="Q193" s="455"/>
      <c r="R193" s="455"/>
    </row>
    <row r="194" spans="1:18" ht="16.5" customHeight="1">
      <c r="A194" s="792">
        <f t="shared" si="23"/>
        <v>61</v>
      </c>
      <c r="B194" s="161" t="s">
        <v>831</v>
      </c>
      <c r="C194" s="472">
        <v>42713</v>
      </c>
      <c r="D194" s="473" t="s">
        <v>830</v>
      </c>
      <c r="E194" s="537">
        <v>50</v>
      </c>
      <c r="F194" s="538">
        <v>39</v>
      </c>
      <c r="G194" s="538">
        <v>24.9</v>
      </c>
      <c r="H194" s="574">
        <f t="shared" si="24"/>
        <v>1.22</v>
      </c>
      <c r="I194" s="134">
        <f t="shared" si="26"/>
        <v>488</v>
      </c>
      <c r="J194" s="549">
        <v>400</v>
      </c>
      <c r="K194" s="134">
        <f t="shared" si="27"/>
        <v>9282.5567763194449</v>
      </c>
      <c r="L194" s="412">
        <v>13400</v>
      </c>
      <c r="M194" s="412"/>
      <c r="N194" s="455"/>
      <c r="O194" s="455"/>
      <c r="P194" s="455"/>
      <c r="Q194" s="455"/>
      <c r="R194" s="455"/>
    </row>
    <row r="195" spans="1:18" ht="16.5" customHeight="1">
      <c r="A195" s="792">
        <f t="shared" si="23"/>
        <v>62</v>
      </c>
      <c r="B195" s="161" t="s">
        <v>832</v>
      </c>
      <c r="C195" s="472">
        <v>42713</v>
      </c>
      <c r="D195" s="473" t="s">
        <v>830</v>
      </c>
      <c r="E195" s="537">
        <v>19</v>
      </c>
      <c r="F195" s="538">
        <v>16</v>
      </c>
      <c r="G195" s="538">
        <v>11</v>
      </c>
      <c r="H195" s="574">
        <f t="shared" si="24"/>
        <v>0.23</v>
      </c>
      <c r="I195" s="134">
        <f t="shared" si="26"/>
        <v>920</v>
      </c>
      <c r="J195" s="549">
        <v>4000</v>
      </c>
      <c r="K195" s="134">
        <f t="shared" si="27"/>
        <v>1749.9902119290759</v>
      </c>
      <c r="L195" s="412">
        <v>2200</v>
      </c>
      <c r="M195" s="412"/>
      <c r="N195" s="455"/>
      <c r="O195" s="455"/>
      <c r="P195" s="455"/>
      <c r="Q195" s="455"/>
      <c r="R195" s="455"/>
    </row>
    <row r="196" spans="1:18" ht="16.5" customHeight="1">
      <c r="A196" s="792">
        <f t="shared" si="23"/>
        <v>63</v>
      </c>
      <c r="B196" s="161" t="s">
        <v>826</v>
      </c>
      <c r="C196" s="472">
        <v>42713</v>
      </c>
      <c r="D196" s="473" t="s">
        <v>439</v>
      </c>
      <c r="E196" s="537">
        <v>56</v>
      </c>
      <c r="F196" s="497">
        <v>32</v>
      </c>
      <c r="G196" s="497">
        <v>30</v>
      </c>
      <c r="H196" s="574">
        <f t="shared" si="24"/>
        <v>1.18</v>
      </c>
      <c r="I196" s="134">
        <f t="shared" si="26"/>
        <v>6183.2</v>
      </c>
      <c r="J196" s="549">
        <v>5240</v>
      </c>
      <c r="K196" s="134">
        <f t="shared" si="27"/>
        <v>8978.2106525056934</v>
      </c>
      <c r="L196" s="412">
        <v>13800</v>
      </c>
      <c r="M196" s="412"/>
      <c r="N196" s="455"/>
      <c r="O196" s="455"/>
      <c r="P196" s="455"/>
      <c r="Q196" s="455"/>
      <c r="R196" s="455"/>
    </row>
    <row r="197" spans="1:18" ht="16.5" customHeight="1">
      <c r="A197" s="792">
        <f t="shared" si="23"/>
        <v>64</v>
      </c>
      <c r="B197" s="161" t="s">
        <v>835</v>
      </c>
      <c r="C197" s="472">
        <v>42713</v>
      </c>
      <c r="D197" s="473" t="s">
        <v>834</v>
      </c>
      <c r="E197" s="537">
        <v>67</v>
      </c>
      <c r="F197" s="538">
        <v>49</v>
      </c>
      <c r="G197" s="538">
        <v>43</v>
      </c>
      <c r="H197" s="574">
        <f t="shared" si="24"/>
        <v>2.25</v>
      </c>
      <c r="I197" s="134">
        <f t="shared" si="26"/>
        <v>204.75</v>
      </c>
      <c r="J197" s="549">
        <v>91</v>
      </c>
      <c r="K197" s="134">
        <f t="shared" si="27"/>
        <v>17119.469464523569</v>
      </c>
      <c r="L197" s="412">
        <v>27000</v>
      </c>
      <c r="M197" s="412"/>
      <c r="N197" s="455"/>
      <c r="O197" s="455"/>
      <c r="P197" s="455"/>
      <c r="Q197" s="455"/>
      <c r="R197" s="455"/>
    </row>
    <row r="198" spans="1:18" ht="16.5" customHeight="1">
      <c r="A198" s="792">
        <f t="shared" si="23"/>
        <v>65</v>
      </c>
      <c r="B198" s="161" t="s">
        <v>836</v>
      </c>
      <c r="C198" s="472">
        <v>42713</v>
      </c>
      <c r="D198" s="473" t="s">
        <v>834</v>
      </c>
      <c r="E198" s="537">
        <v>48</v>
      </c>
      <c r="F198" s="538">
        <v>22</v>
      </c>
      <c r="G198" s="538">
        <v>33</v>
      </c>
      <c r="H198" s="574">
        <f t="shared" si="24"/>
        <v>0.84</v>
      </c>
      <c r="I198" s="134">
        <f t="shared" ref="I198:I229" si="28">H198*J198</f>
        <v>252</v>
      </c>
      <c r="J198" s="549">
        <v>300</v>
      </c>
      <c r="K198" s="134">
        <f t="shared" ref="K198:K229" si="29">H198*$R$170</f>
        <v>6391.2686000887979</v>
      </c>
      <c r="L198" s="412">
        <v>6700</v>
      </c>
      <c r="M198" s="412"/>
      <c r="N198" s="455"/>
      <c r="O198" s="455"/>
      <c r="P198" s="455"/>
      <c r="Q198" s="455"/>
      <c r="R198" s="455"/>
    </row>
    <row r="199" spans="1:18" ht="16.5" customHeight="1">
      <c r="A199" s="792">
        <f t="shared" si="23"/>
        <v>66</v>
      </c>
      <c r="B199" s="161" t="s">
        <v>811</v>
      </c>
      <c r="C199" s="472">
        <v>42713</v>
      </c>
      <c r="D199" s="473" t="s">
        <v>837</v>
      </c>
      <c r="E199" s="537">
        <v>50</v>
      </c>
      <c r="F199" s="538">
        <v>29.5</v>
      </c>
      <c r="G199" s="538">
        <v>19</v>
      </c>
      <c r="H199" s="574">
        <f t="shared" si="24"/>
        <v>0.84</v>
      </c>
      <c r="I199" s="134">
        <f t="shared" si="28"/>
        <v>2016</v>
      </c>
      <c r="J199" s="549">
        <v>2400</v>
      </c>
      <c r="K199" s="134">
        <f t="shared" si="29"/>
        <v>6391.2686000887979</v>
      </c>
      <c r="L199" s="412">
        <v>7500</v>
      </c>
      <c r="M199" s="412"/>
      <c r="N199" s="455"/>
      <c r="O199" s="455"/>
      <c r="P199" s="455"/>
      <c r="Q199" s="455"/>
      <c r="R199" s="455"/>
    </row>
    <row r="200" spans="1:18" ht="16.5" customHeight="1">
      <c r="A200" s="792">
        <f t="shared" si="23"/>
        <v>67</v>
      </c>
      <c r="B200" s="161" t="s">
        <v>811</v>
      </c>
      <c r="C200" s="472">
        <v>42714</v>
      </c>
      <c r="D200" s="473" t="s">
        <v>838</v>
      </c>
      <c r="E200" s="537">
        <v>50</v>
      </c>
      <c r="F200" s="538">
        <v>29.5</v>
      </c>
      <c r="G200" s="538">
        <v>19</v>
      </c>
      <c r="H200" s="574">
        <f t="shared" si="24"/>
        <v>0.84</v>
      </c>
      <c r="I200" s="134">
        <f t="shared" si="28"/>
        <v>2016</v>
      </c>
      <c r="J200" s="549">
        <v>2400</v>
      </c>
      <c r="K200" s="134">
        <f t="shared" si="29"/>
        <v>6391.2686000887979</v>
      </c>
      <c r="L200" s="412">
        <v>7500</v>
      </c>
      <c r="M200" s="412"/>
      <c r="N200" s="455"/>
      <c r="O200" s="455"/>
      <c r="P200" s="455"/>
      <c r="Q200" s="455"/>
      <c r="R200" s="455"/>
    </row>
    <row r="201" spans="1:18" ht="16.5" customHeight="1">
      <c r="A201" s="792">
        <f t="shared" si="23"/>
        <v>68</v>
      </c>
      <c r="B201" s="161" t="s">
        <v>811</v>
      </c>
      <c r="C201" s="472">
        <v>42715</v>
      </c>
      <c r="D201" s="473" t="s">
        <v>839</v>
      </c>
      <c r="E201" s="537">
        <v>50</v>
      </c>
      <c r="F201" s="538">
        <v>29.5</v>
      </c>
      <c r="G201" s="538">
        <v>19</v>
      </c>
      <c r="H201" s="574">
        <f t="shared" si="24"/>
        <v>0.84</v>
      </c>
      <c r="I201" s="134">
        <f t="shared" si="28"/>
        <v>2016</v>
      </c>
      <c r="J201" s="549">
        <v>2400</v>
      </c>
      <c r="K201" s="134">
        <f t="shared" si="29"/>
        <v>6391.2686000887979</v>
      </c>
      <c r="L201" s="412">
        <v>7500</v>
      </c>
      <c r="M201" s="412"/>
      <c r="N201" s="455"/>
      <c r="O201" s="455"/>
      <c r="P201" s="455"/>
      <c r="Q201" s="455"/>
      <c r="R201" s="455"/>
    </row>
    <row r="202" spans="1:18" ht="16.5" customHeight="1">
      <c r="A202" s="792">
        <f t="shared" si="23"/>
        <v>69</v>
      </c>
      <c r="B202" s="161" t="s">
        <v>811</v>
      </c>
      <c r="C202" s="472">
        <v>42716</v>
      </c>
      <c r="D202" s="473" t="s">
        <v>840</v>
      </c>
      <c r="E202" s="537">
        <v>50</v>
      </c>
      <c r="F202" s="538">
        <v>29.5</v>
      </c>
      <c r="G202" s="538">
        <v>19</v>
      </c>
      <c r="H202" s="574">
        <f t="shared" si="24"/>
        <v>0.84</v>
      </c>
      <c r="I202" s="134">
        <f t="shared" si="28"/>
        <v>2016</v>
      </c>
      <c r="J202" s="549">
        <v>2400</v>
      </c>
      <c r="K202" s="134">
        <f t="shared" si="29"/>
        <v>6391.2686000887979</v>
      </c>
      <c r="L202" s="412">
        <v>7500</v>
      </c>
      <c r="M202" s="412"/>
      <c r="N202" s="455"/>
      <c r="O202" s="455"/>
      <c r="P202" s="455"/>
      <c r="Q202" s="455"/>
      <c r="R202" s="455"/>
    </row>
    <row r="203" spans="1:18" ht="16.5" customHeight="1">
      <c r="A203" s="792">
        <f t="shared" si="23"/>
        <v>70</v>
      </c>
      <c r="B203" s="161" t="s">
        <v>662</v>
      </c>
      <c r="C203" s="472">
        <v>42716</v>
      </c>
      <c r="D203" s="473" t="s">
        <v>880</v>
      </c>
      <c r="E203" s="537">
        <v>39.5</v>
      </c>
      <c r="F203" s="538">
        <v>32.299999999999997</v>
      </c>
      <c r="G203" s="538">
        <v>27.7</v>
      </c>
      <c r="H203" s="574">
        <f t="shared" si="24"/>
        <v>0.94</v>
      </c>
      <c r="I203" s="134">
        <f t="shared" si="28"/>
        <v>312.08</v>
      </c>
      <c r="J203" s="549">
        <v>332</v>
      </c>
      <c r="K203" s="134">
        <f t="shared" si="29"/>
        <v>7152.1339096231786</v>
      </c>
      <c r="L203" s="412">
        <v>9400</v>
      </c>
      <c r="M203" s="412"/>
      <c r="N203" s="455"/>
      <c r="O203" s="455"/>
      <c r="P203" s="455"/>
      <c r="Q203" s="455"/>
      <c r="R203" s="455"/>
    </row>
    <row r="204" spans="1:18" ht="16.5" customHeight="1">
      <c r="A204" s="792">
        <f t="shared" si="23"/>
        <v>71</v>
      </c>
      <c r="B204" s="161" t="s">
        <v>509</v>
      </c>
      <c r="C204" s="472">
        <v>42716</v>
      </c>
      <c r="D204" s="473" t="s">
        <v>880</v>
      </c>
      <c r="E204" s="537">
        <v>49.5</v>
      </c>
      <c r="F204" s="538">
        <v>38.5</v>
      </c>
      <c r="G204" s="538">
        <v>32.5</v>
      </c>
      <c r="H204" s="574">
        <f t="shared" si="24"/>
        <v>1.34</v>
      </c>
      <c r="I204" s="134">
        <f t="shared" si="28"/>
        <v>139.36000000000001</v>
      </c>
      <c r="J204" s="549">
        <v>104</v>
      </c>
      <c r="K204" s="134">
        <f t="shared" si="29"/>
        <v>10195.595147760703</v>
      </c>
      <c r="L204" s="412">
        <v>12900</v>
      </c>
      <c r="M204" s="412"/>
      <c r="N204" s="455"/>
      <c r="O204" s="455"/>
      <c r="P204" s="455"/>
      <c r="Q204" s="455"/>
      <c r="R204" s="455"/>
    </row>
    <row r="205" spans="1:18" ht="16.5" customHeight="1">
      <c r="A205" s="792">
        <f t="shared" si="23"/>
        <v>72</v>
      </c>
      <c r="B205" s="161" t="s">
        <v>527</v>
      </c>
      <c r="C205" s="472">
        <v>42717</v>
      </c>
      <c r="D205" s="473" t="s">
        <v>881</v>
      </c>
      <c r="E205" s="537">
        <v>103</v>
      </c>
      <c r="F205" s="538">
        <v>50</v>
      </c>
      <c r="G205" s="538">
        <v>180</v>
      </c>
      <c r="H205" s="574">
        <f t="shared" si="24"/>
        <v>7.25</v>
      </c>
      <c r="I205" s="134">
        <f t="shared" si="28"/>
        <v>435</v>
      </c>
      <c r="J205" s="549">
        <v>60</v>
      </c>
      <c r="K205" s="134">
        <f t="shared" si="29"/>
        <v>55162.734941242605</v>
      </c>
      <c r="L205" s="412">
        <v>47449</v>
      </c>
      <c r="M205" s="412"/>
      <c r="N205" s="455"/>
      <c r="O205" s="455"/>
      <c r="P205" s="455"/>
      <c r="Q205" s="455"/>
      <c r="R205" s="455"/>
    </row>
    <row r="206" spans="1:18" ht="16.5" customHeight="1">
      <c r="A206" s="792">
        <f t="shared" si="23"/>
        <v>73</v>
      </c>
      <c r="B206" s="161" t="s">
        <v>664</v>
      </c>
      <c r="C206" s="472">
        <v>42717</v>
      </c>
      <c r="D206" s="473" t="s">
        <v>881</v>
      </c>
      <c r="E206" s="537">
        <v>122</v>
      </c>
      <c r="F206" s="538">
        <v>54</v>
      </c>
      <c r="G206" s="538">
        <v>180</v>
      </c>
      <c r="H206" s="574">
        <f t="shared" si="24"/>
        <v>8.4600000000000009</v>
      </c>
      <c r="I206" s="134">
        <f t="shared" si="28"/>
        <v>186.12</v>
      </c>
      <c r="J206" s="549">
        <v>22</v>
      </c>
      <c r="K206" s="134">
        <f t="shared" si="29"/>
        <v>64369.205186608619</v>
      </c>
      <c r="L206" s="412">
        <v>54530</v>
      </c>
      <c r="M206" s="412"/>
      <c r="N206" s="455"/>
      <c r="O206" s="455"/>
      <c r="P206" s="455"/>
      <c r="Q206" s="455"/>
      <c r="R206" s="455"/>
    </row>
    <row r="207" spans="1:18" ht="16.5" customHeight="1">
      <c r="A207" s="792">
        <f t="shared" si="23"/>
        <v>74</v>
      </c>
      <c r="B207" s="161" t="s">
        <v>842</v>
      </c>
      <c r="C207" s="472">
        <v>42719</v>
      </c>
      <c r="D207" s="473" t="s">
        <v>841</v>
      </c>
      <c r="E207" s="537">
        <v>78</v>
      </c>
      <c r="F207" s="538">
        <v>52</v>
      </c>
      <c r="G207" s="538">
        <v>4.5</v>
      </c>
      <c r="H207" s="574">
        <f t="shared" si="24"/>
        <v>1.58</v>
      </c>
      <c r="I207" s="134">
        <f t="shared" si="28"/>
        <v>162.74</v>
      </c>
      <c r="J207" s="549">
        <v>103</v>
      </c>
      <c r="K207" s="134">
        <f t="shared" si="29"/>
        <v>12021.671890643216</v>
      </c>
      <c r="L207" s="412">
        <v>14000</v>
      </c>
      <c r="M207" s="412"/>
      <c r="N207" s="455"/>
      <c r="O207" s="455"/>
      <c r="P207" s="455"/>
      <c r="Q207" s="455"/>
      <c r="R207" s="455"/>
    </row>
    <row r="208" spans="1:18" ht="16.5" customHeight="1">
      <c r="A208" s="792">
        <f t="shared" ref="A208:A271" si="30">IF(B208&lt;&gt;"",ROW()-133,"")</f>
        <v>75</v>
      </c>
      <c r="B208" s="161" t="s">
        <v>843</v>
      </c>
      <c r="C208" s="472">
        <v>42719</v>
      </c>
      <c r="D208" s="473" t="s">
        <v>841</v>
      </c>
      <c r="E208" s="537">
        <v>98</v>
      </c>
      <c r="F208" s="538">
        <v>65</v>
      </c>
      <c r="G208" s="538">
        <v>4.5</v>
      </c>
      <c r="H208" s="574">
        <f t="shared" si="24"/>
        <v>2.4</v>
      </c>
      <c r="I208" s="134">
        <f t="shared" si="28"/>
        <v>655.19999999999993</v>
      </c>
      <c r="J208" s="549">
        <v>273</v>
      </c>
      <c r="K208" s="134">
        <f t="shared" si="29"/>
        <v>18260.767428825136</v>
      </c>
      <c r="L208" s="412">
        <v>20000</v>
      </c>
      <c r="M208" s="412"/>
      <c r="N208" s="455"/>
      <c r="O208" s="455"/>
      <c r="P208" s="455"/>
      <c r="Q208" s="455"/>
      <c r="R208" s="455"/>
    </row>
    <row r="209" spans="1:18" ht="16.5" customHeight="1">
      <c r="A209" s="792">
        <f t="shared" si="30"/>
        <v>76</v>
      </c>
      <c r="B209" s="161" t="s">
        <v>811</v>
      </c>
      <c r="C209" s="472">
        <v>42719</v>
      </c>
      <c r="D209" s="473" t="s">
        <v>882</v>
      </c>
      <c r="E209" s="537">
        <v>50</v>
      </c>
      <c r="F209" s="538">
        <v>29.5</v>
      </c>
      <c r="G209" s="538">
        <v>19</v>
      </c>
      <c r="H209" s="574">
        <f t="shared" si="24"/>
        <v>0.84</v>
      </c>
      <c r="I209" s="134">
        <f t="shared" si="28"/>
        <v>2016</v>
      </c>
      <c r="J209" s="549">
        <v>2400</v>
      </c>
      <c r="K209" s="134">
        <f t="shared" si="29"/>
        <v>6391.2686000887979</v>
      </c>
      <c r="L209" s="412">
        <v>7500</v>
      </c>
      <c r="M209" s="412"/>
      <c r="N209" s="455"/>
      <c r="O209" s="455"/>
      <c r="P209" s="455"/>
      <c r="Q209" s="455"/>
      <c r="R209" s="455"/>
    </row>
    <row r="210" spans="1:18" ht="16.5" customHeight="1">
      <c r="A210" s="792">
        <f t="shared" si="30"/>
        <v>77</v>
      </c>
      <c r="B210" s="161" t="s">
        <v>811</v>
      </c>
      <c r="C210" s="472">
        <v>42720</v>
      </c>
      <c r="D210" s="473" t="s">
        <v>883</v>
      </c>
      <c r="E210" s="537">
        <v>50</v>
      </c>
      <c r="F210" s="538">
        <v>29.5</v>
      </c>
      <c r="G210" s="538">
        <v>19</v>
      </c>
      <c r="H210" s="574">
        <f t="shared" si="24"/>
        <v>0.84</v>
      </c>
      <c r="I210" s="134">
        <f t="shared" si="28"/>
        <v>2016</v>
      </c>
      <c r="J210" s="549">
        <v>2400</v>
      </c>
      <c r="K210" s="134">
        <f t="shared" si="29"/>
        <v>6391.2686000887979</v>
      </c>
      <c r="L210" s="412">
        <v>7500</v>
      </c>
      <c r="M210" s="412"/>
      <c r="N210" s="455"/>
      <c r="O210" s="455"/>
      <c r="P210" s="455"/>
      <c r="Q210" s="455"/>
      <c r="R210" s="455"/>
    </row>
    <row r="211" spans="1:18" ht="16.5" customHeight="1">
      <c r="A211" s="792">
        <f t="shared" si="30"/>
        <v>78</v>
      </c>
      <c r="B211" s="161" t="s">
        <v>846</v>
      </c>
      <c r="C211" s="472">
        <v>42721</v>
      </c>
      <c r="D211" s="473" t="s">
        <v>845</v>
      </c>
      <c r="E211" s="537">
        <v>36</v>
      </c>
      <c r="F211" s="538">
        <v>28</v>
      </c>
      <c r="G211" s="538">
        <v>20</v>
      </c>
      <c r="H211" s="574">
        <f t="shared" si="24"/>
        <v>0.68</v>
      </c>
      <c r="I211" s="134">
        <f t="shared" si="28"/>
        <v>139.4</v>
      </c>
      <c r="J211" s="549">
        <v>205</v>
      </c>
      <c r="K211" s="134">
        <f t="shared" si="29"/>
        <v>5173.8841048337899</v>
      </c>
      <c r="L211" s="412">
        <v>4950</v>
      </c>
      <c r="M211" s="412"/>
      <c r="N211" s="455"/>
      <c r="O211" s="455"/>
      <c r="P211" s="455"/>
      <c r="Q211" s="455"/>
      <c r="R211" s="455"/>
    </row>
    <row r="212" spans="1:18" ht="16.5" customHeight="1">
      <c r="A212" s="792">
        <f t="shared" si="30"/>
        <v>79</v>
      </c>
      <c r="B212" s="161" t="s">
        <v>847</v>
      </c>
      <c r="C212" s="472">
        <v>42721</v>
      </c>
      <c r="D212" s="473" t="s">
        <v>845</v>
      </c>
      <c r="E212" s="537">
        <v>42</v>
      </c>
      <c r="F212" s="538">
        <v>28</v>
      </c>
      <c r="G212" s="538">
        <v>30</v>
      </c>
      <c r="H212" s="574">
        <f t="shared" si="24"/>
        <v>0.88</v>
      </c>
      <c r="I212" s="134">
        <f t="shared" si="28"/>
        <v>1020.8</v>
      </c>
      <c r="J212" s="549">
        <v>1160</v>
      </c>
      <c r="K212" s="134">
        <f t="shared" si="29"/>
        <v>6695.6147239025513</v>
      </c>
      <c r="L212" s="412">
        <v>9936</v>
      </c>
      <c r="M212" s="412"/>
      <c r="N212" s="455"/>
      <c r="O212" s="455"/>
      <c r="P212" s="455"/>
      <c r="Q212" s="455"/>
      <c r="R212" s="455"/>
    </row>
    <row r="213" spans="1:18" ht="16.5" customHeight="1">
      <c r="A213" s="792">
        <f t="shared" si="30"/>
        <v>80</v>
      </c>
      <c r="B213" s="161" t="s">
        <v>849</v>
      </c>
      <c r="C213" s="472">
        <v>42721</v>
      </c>
      <c r="D213" s="473" t="s">
        <v>848</v>
      </c>
      <c r="E213" s="537">
        <v>38</v>
      </c>
      <c r="F213" s="538">
        <v>28</v>
      </c>
      <c r="G213" s="538">
        <v>33</v>
      </c>
      <c r="H213" s="574">
        <f t="shared" si="24"/>
        <v>0.88</v>
      </c>
      <c r="I213" s="134">
        <f t="shared" si="28"/>
        <v>256.95999999999998</v>
      </c>
      <c r="J213" s="549">
        <v>292</v>
      </c>
      <c r="K213" s="134">
        <f t="shared" si="29"/>
        <v>6695.6147239025513</v>
      </c>
      <c r="L213" s="412">
        <v>9853</v>
      </c>
      <c r="M213" s="412"/>
      <c r="N213" s="455"/>
      <c r="O213" s="455"/>
      <c r="P213" s="455"/>
      <c r="Q213" s="455"/>
      <c r="R213" s="455"/>
    </row>
    <row r="214" spans="1:18" ht="16.5" customHeight="1">
      <c r="A214" s="792">
        <f t="shared" si="30"/>
        <v>81</v>
      </c>
      <c r="B214" s="161" t="s">
        <v>850</v>
      </c>
      <c r="C214" s="472">
        <v>42721</v>
      </c>
      <c r="D214" s="473" t="s">
        <v>848</v>
      </c>
      <c r="E214" s="537">
        <v>38</v>
      </c>
      <c r="F214" s="538">
        <v>24</v>
      </c>
      <c r="G214" s="538">
        <v>30</v>
      </c>
      <c r="H214" s="574">
        <f t="shared" si="24"/>
        <v>0.74</v>
      </c>
      <c r="I214" s="134">
        <f t="shared" si="28"/>
        <v>133.19999999999999</v>
      </c>
      <c r="J214" s="549">
        <v>180</v>
      </c>
      <c r="K214" s="134">
        <f t="shared" si="29"/>
        <v>5630.4032905544173</v>
      </c>
      <c r="L214" s="412">
        <v>8243</v>
      </c>
      <c r="M214" s="412"/>
      <c r="N214" s="455"/>
      <c r="O214" s="455"/>
      <c r="P214" s="455"/>
      <c r="Q214" s="455"/>
      <c r="R214" s="455"/>
    </row>
    <row r="215" spans="1:18" ht="16.5" customHeight="1">
      <c r="A215" s="792">
        <f t="shared" si="30"/>
        <v>82</v>
      </c>
      <c r="B215" s="161" t="s">
        <v>851</v>
      </c>
      <c r="C215" s="472">
        <v>42721</v>
      </c>
      <c r="D215" s="473" t="s">
        <v>848</v>
      </c>
      <c r="E215" s="537">
        <v>38</v>
      </c>
      <c r="F215" s="538">
        <v>18</v>
      </c>
      <c r="G215" s="538">
        <v>30</v>
      </c>
      <c r="H215" s="574">
        <f t="shared" si="24"/>
        <v>0.6</v>
      </c>
      <c r="I215" s="134">
        <f t="shared" si="28"/>
        <v>30</v>
      </c>
      <c r="J215" s="549">
        <v>50</v>
      </c>
      <c r="K215" s="134">
        <f t="shared" si="29"/>
        <v>4565.1918572062841</v>
      </c>
      <c r="L215" s="412">
        <v>6670</v>
      </c>
      <c r="M215" s="412"/>
      <c r="N215" s="455"/>
      <c r="O215" s="455"/>
      <c r="P215" s="455"/>
      <c r="Q215" s="455"/>
      <c r="R215" s="455"/>
    </row>
    <row r="216" spans="1:18" ht="16.5" customHeight="1">
      <c r="A216" s="792">
        <f t="shared" si="30"/>
        <v>83</v>
      </c>
      <c r="B216" s="161" t="s">
        <v>852</v>
      </c>
      <c r="C216" s="472">
        <v>42721</v>
      </c>
      <c r="D216" s="473" t="s">
        <v>848</v>
      </c>
      <c r="E216" s="537">
        <v>38</v>
      </c>
      <c r="F216" s="538">
        <v>38</v>
      </c>
      <c r="G216" s="538">
        <v>34</v>
      </c>
      <c r="H216" s="574">
        <f t="shared" si="24"/>
        <v>1.18</v>
      </c>
      <c r="I216" s="134">
        <f t="shared" si="28"/>
        <v>653.71999999999991</v>
      </c>
      <c r="J216" s="549">
        <v>554</v>
      </c>
      <c r="K216" s="134">
        <f t="shared" si="29"/>
        <v>8978.2106525056934</v>
      </c>
      <c r="L216" s="412">
        <v>13276</v>
      </c>
      <c r="M216" s="412"/>
      <c r="N216" s="455"/>
      <c r="O216" s="455"/>
      <c r="P216" s="455"/>
      <c r="Q216" s="455"/>
      <c r="R216" s="455"/>
    </row>
    <row r="217" spans="1:18" ht="16.5" customHeight="1">
      <c r="A217" s="792">
        <f t="shared" si="30"/>
        <v>84</v>
      </c>
      <c r="B217" s="161" t="s">
        <v>855</v>
      </c>
      <c r="C217" s="472">
        <v>42721</v>
      </c>
      <c r="D217" s="473" t="s">
        <v>853</v>
      </c>
      <c r="E217" s="537">
        <v>36</v>
      </c>
      <c r="F217" s="538">
        <v>26</v>
      </c>
      <c r="G217" s="538"/>
      <c r="H217" s="574">
        <f t="shared" si="24"/>
        <v>0.09</v>
      </c>
      <c r="I217" s="134">
        <f t="shared" si="28"/>
        <v>52.559999999999995</v>
      </c>
      <c r="J217" s="549">
        <v>584</v>
      </c>
      <c r="K217" s="134">
        <f t="shared" si="29"/>
        <v>684.77877858094269</v>
      </c>
      <c r="L217" s="412">
        <v>562</v>
      </c>
      <c r="M217" s="412"/>
      <c r="N217" s="455"/>
      <c r="O217" s="455"/>
      <c r="P217" s="455"/>
      <c r="Q217" s="455"/>
      <c r="R217" s="455"/>
    </row>
    <row r="218" spans="1:18" ht="16.5" customHeight="1">
      <c r="A218" s="792">
        <f t="shared" si="30"/>
        <v>85</v>
      </c>
      <c r="B218" s="161" t="s">
        <v>856</v>
      </c>
      <c r="C218" s="472">
        <v>42721</v>
      </c>
      <c r="D218" s="473" t="s">
        <v>853</v>
      </c>
      <c r="E218" s="537">
        <v>36</v>
      </c>
      <c r="F218" s="538">
        <v>22</v>
      </c>
      <c r="G218" s="538"/>
      <c r="H218" s="574">
        <f t="shared" si="24"/>
        <v>0.08</v>
      </c>
      <c r="I218" s="134">
        <f t="shared" si="28"/>
        <v>28.8</v>
      </c>
      <c r="J218" s="549">
        <v>360</v>
      </c>
      <c r="K218" s="134">
        <f t="shared" si="29"/>
        <v>608.69224762750468</v>
      </c>
      <c r="L218" s="412">
        <v>475</v>
      </c>
      <c r="M218" s="412"/>
      <c r="N218" s="455"/>
      <c r="O218" s="455"/>
      <c r="P218" s="455"/>
      <c r="Q218" s="455"/>
      <c r="R218" s="455"/>
    </row>
    <row r="219" spans="1:18" ht="16.5" customHeight="1">
      <c r="A219" s="792">
        <f t="shared" si="30"/>
        <v>86</v>
      </c>
      <c r="B219" s="161" t="s">
        <v>857</v>
      </c>
      <c r="C219" s="472">
        <v>42721</v>
      </c>
      <c r="D219" s="473" t="s">
        <v>853</v>
      </c>
      <c r="E219" s="537">
        <v>36</v>
      </c>
      <c r="F219" s="538">
        <v>18</v>
      </c>
      <c r="G219" s="538"/>
      <c r="H219" s="574">
        <f t="shared" si="24"/>
        <v>0.06</v>
      </c>
      <c r="I219" s="134">
        <f t="shared" si="28"/>
        <v>6</v>
      </c>
      <c r="J219" s="549">
        <v>100</v>
      </c>
      <c r="K219" s="134">
        <f t="shared" si="29"/>
        <v>456.51918572062846</v>
      </c>
      <c r="L219" s="412">
        <v>389</v>
      </c>
      <c r="M219" s="412"/>
      <c r="N219" s="455"/>
      <c r="O219" s="455"/>
      <c r="P219" s="455"/>
      <c r="Q219" s="455"/>
      <c r="R219" s="455"/>
    </row>
    <row r="220" spans="1:18" ht="16.5" customHeight="1">
      <c r="A220" s="792">
        <f t="shared" si="30"/>
        <v>87</v>
      </c>
      <c r="B220" s="161" t="s">
        <v>858</v>
      </c>
      <c r="C220" s="472">
        <v>42721</v>
      </c>
      <c r="D220" s="473" t="s">
        <v>853</v>
      </c>
      <c r="E220" s="537">
        <v>36</v>
      </c>
      <c r="F220" s="538">
        <v>36</v>
      </c>
      <c r="G220" s="538"/>
      <c r="H220" s="574">
        <f t="shared" si="24"/>
        <v>0.13</v>
      </c>
      <c r="I220" s="134">
        <f t="shared" si="28"/>
        <v>144.04</v>
      </c>
      <c r="J220" s="549">
        <v>1108</v>
      </c>
      <c r="K220" s="134">
        <f t="shared" si="29"/>
        <v>989.12490239469503</v>
      </c>
      <c r="L220" s="412">
        <v>778</v>
      </c>
      <c r="M220" s="412"/>
      <c r="N220" s="455"/>
      <c r="O220" s="455"/>
      <c r="P220" s="455"/>
      <c r="Q220" s="455"/>
      <c r="R220" s="455"/>
    </row>
    <row r="221" spans="1:18" ht="16.5" customHeight="1">
      <c r="A221" s="792">
        <f t="shared" si="30"/>
        <v>88</v>
      </c>
      <c r="B221" s="161" t="s">
        <v>811</v>
      </c>
      <c r="C221" s="472">
        <v>42721</v>
      </c>
      <c r="D221" s="473" t="s">
        <v>884</v>
      </c>
      <c r="E221" s="537">
        <v>50</v>
      </c>
      <c r="F221" s="538">
        <v>29.5</v>
      </c>
      <c r="G221" s="538">
        <v>19</v>
      </c>
      <c r="H221" s="574">
        <f t="shared" si="24"/>
        <v>0.84</v>
      </c>
      <c r="I221" s="134">
        <f t="shared" si="28"/>
        <v>2016</v>
      </c>
      <c r="J221" s="549">
        <v>2400</v>
      </c>
      <c r="K221" s="134">
        <f t="shared" si="29"/>
        <v>6391.2686000887979</v>
      </c>
      <c r="L221" s="412">
        <v>7500</v>
      </c>
      <c r="M221" s="412"/>
      <c r="N221" s="455"/>
      <c r="O221" s="455"/>
      <c r="P221" s="455"/>
      <c r="Q221" s="455"/>
      <c r="R221" s="455"/>
    </row>
    <row r="222" spans="1:18" ht="16.5" customHeight="1">
      <c r="A222" s="792">
        <f t="shared" si="30"/>
        <v>89</v>
      </c>
      <c r="B222" s="161" t="s">
        <v>811</v>
      </c>
      <c r="C222" s="472">
        <v>42722</v>
      </c>
      <c r="D222" s="473" t="s">
        <v>885</v>
      </c>
      <c r="E222" s="537">
        <v>50</v>
      </c>
      <c r="F222" s="538">
        <v>29.5</v>
      </c>
      <c r="G222" s="538">
        <v>19</v>
      </c>
      <c r="H222" s="57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49">
        <v>2400</v>
      </c>
      <c r="K222" s="134">
        <f t="shared" si="29"/>
        <v>6391.2686000887979</v>
      </c>
      <c r="L222" s="412">
        <v>7500</v>
      </c>
      <c r="M222" s="412"/>
      <c r="N222" s="455"/>
      <c r="O222" s="455"/>
      <c r="P222" s="455"/>
      <c r="Q222" s="455"/>
      <c r="R222" s="455"/>
    </row>
    <row r="223" spans="1:18" ht="16.5" customHeight="1">
      <c r="A223" s="792">
        <f t="shared" si="30"/>
        <v>90</v>
      </c>
      <c r="B223" s="161" t="s">
        <v>811</v>
      </c>
      <c r="C223" s="472">
        <v>42723</v>
      </c>
      <c r="D223" s="473" t="s">
        <v>886</v>
      </c>
      <c r="E223" s="537">
        <v>50</v>
      </c>
      <c r="F223" s="538">
        <v>29.5</v>
      </c>
      <c r="G223" s="538">
        <v>19</v>
      </c>
      <c r="H223" s="574">
        <f t="shared" si="31"/>
        <v>0.84</v>
      </c>
      <c r="I223" s="134">
        <f t="shared" si="28"/>
        <v>2016</v>
      </c>
      <c r="J223" s="549">
        <v>2400</v>
      </c>
      <c r="K223" s="134">
        <f t="shared" si="29"/>
        <v>6391.2686000887979</v>
      </c>
      <c r="L223" s="412">
        <v>7500</v>
      </c>
      <c r="M223" s="412"/>
      <c r="N223" s="455"/>
      <c r="O223" s="455"/>
      <c r="P223" s="455"/>
      <c r="Q223" s="455"/>
      <c r="R223" s="455"/>
    </row>
    <row r="224" spans="1:18" ht="16.5" customHeight="1">
      <c r="A224" s="792">
        <f t="shared" si="30"/>
        <v>91</v>
      </c>
      <c r="B224" s="161" t="s">
        <v>689</v>
      </c>
      <c r="C224" s="472">
        <v>42724</v>
      </c>
      <c r="D224" s="473" t="s">
        <v>887</v>
      </c>
      <c r="E224" s="537">
        <v>37.5</v>
      </c>
      <c r="F224" s="538">
        <v>25.3</v>
      </c>
      <c r="G224" s="538">
        <v>23.9</v>
      </c>
      <c r="H224" s="574">
        <f t="shared" si="31"/>
        <v>0.68</v>
      </c>
      <c r="I224" s="134">
        <f t="shared" si="28"/>
        <v>592.96</v>
      </c>
      <c r="J224" s="549">
        <v>872</v>
      </c>
      <c r="K224" s="134">
        <f t="shared" si="29"/>
        <v>5173.8841048337899</v>
      </c>
      <c r="L224" s="412">
        <v>5900</v>
      </c>
      <c r="M224" s="412"/>
      <c r="N224" s="455"/>
      <c r="O224" s="455"/>
      <c r="P224" s="455"/>
      <c r="Q224" s="455"/>
      <c r="R224" s="455"/>
    </row>
    <row r="225" spans="1:18" ht="16.5" customHeight="1">
      <c r="A225" s="792">
        <f t="shared" si="30"/>
        <v>92</v>
      </c>
      <c r="B225" s="161" t="s">
        <v>891</v>
      </c>
      <c r="C225" s="472">
        <v>42724</v>
      </c>
      <c r="D225" s="473" t="s">
        <v>890</v>
      </c>
      <c r="E225" s="537">
        <v>84</v>
      </c>
      <c r="F225" s="538">
        <v>17</v>
      </c>
      <c r="G225" s="538">
        <v>84</v>
      </c>
      <c r="H225" s="574">
        <f t="shared" si="31"/>
        <v>2.15</v>
      </c>
      <c r="I225" s="134">
        <f t="shared" si="28"/>
        <v>150.5</v>
      </c>
      <c r="J225" s="549">
        <v>70</v>
      </c>
      <c r="K225" s="134">
        <f t="shared" si="29"/>
        <v>16358.604154989185</v>
      </c>
      <c r="L225" s="412">
        <v>24700</v>
      </c>
      <c r="M225" s="412"/>
      <c r="N225" s="455"/>
      <c r="O225" s="455"/>
      <c r="P225" s="455"/>
      <c r="Q225" s="455"/>
      <c r="R225" s="455"/>
    </row>
    <row r="226" spans="1:18" ht="16.5" customHeight="1">
      <c r="A226" s="792">
        <f t="shared" si="30"/>
        <v>93</v>
      </c>
      <c r="B226" s="161" t="s">
        <v>894</v>
      </c>
      <c r="C226" s="472">
        <v>42724</v>
      </c>
      <c r="D226" s="473" t="s">
        <v>893</v>
      </c>
      <c r="E226" s="537">
        <v>60</v>
      </c>
      <c r="F226" s="538">
        <v>35</v>
      </c>
      <c r="G226" s="538">
        <v>50</v>
      </c>
      <c r="H226" s="574">
        <f t="shared" si="31"/>
        <v>1.72</v>
      </c>
      <c r="I226" s="134">
        <f t="shared" si="28"/>
        <v>216.72</v>
      </c>
      <c r="J226" s="549">
        <v>126</v>
      </c>
      <c r="K226" s="134">
        <f t="shared" si="29"/>
        <v>13086.883323991349</v>
      </c>
      <c r="L226" s="412">
        <v>21900</v>
      </c>
      <c r="M226" s="412"/>
      <c r="N226" s="455"/>
      <c r="O226" s="455"/>
      <c r="P226" s="455"/>
      <c r="Q226" s="455"/>
      <c r="R226" s="455"/>
    </row>
    <row r="227" spans="1:18" ht="16.5" customHeight="1">
      <c r="A227" s="792">
        <f t="shared" si="30"/>
        <v>94</v>
      </c>
      <c r="B227" s="161" t="s">
        <v>895</v>
      </c>
      <c r="C227" s="472">
        <v>42724</v>
      </c>
      <c r="D227" s="473" t="s">
        <v>893</v>
      </c>
      <c r="E227" s="537">
        <v>30</v>
      </c>
      <c r="F227" s="538">
        <v>30</v>
      </c>
      <c r="G227" s="538"/>
      <c r="H227" s="574">
        <f t="shared" si="31"/>
        <v>0.09</v>
      </c>
      <c r="I227" s="134">
        <f t="shared" si="28"/>
        <v>11.34</v>
      </c>
      <c r="J227" s="549">
        <v>126</v>
      </c>
      <c r="K227" s="134">
        <f t="shared" si="29"/>
        <v>684.77877858094269</v>
      </c>
      <c r="L227" s="412">
        <v>800</v>
      </c>
      <c r="M227" s="412"/>
      <c r="N227" s="455"/>
      <c r="O227" s="455"/>
      <c r="P227" s="455"/>
      <c r="Q227" s="455"/>
      <c r="R227" s="455"/>
    </row>
    <row r="228" spans="1:18" ht="16.5" customHeight="1">
      <c r="A228" s="792">
        <f t="shared" si="30"/>
        <v>95</v>
      </c>
      <c r="B228" s="161" t="s">
        <v>811</v>
      </c>
      <c r="C228" s="472">
        <v>42724</v>
      </c>
      <c r="D228" s="473" t="s">
        <v>897</v>
      </c>
      <c r="E228" s="537">
        <v>50</v>
      </c>
      <c r="F228" s="538">
        <v>29.5</v>
      </c>
      <c r="G228" s="538">
        <v>19</v>
      </c>
      <c r="H228" s="574">
        <f t="shared" si="31"/>
        <v>0.84</v>
      </c>
      <c r="I228" s="134">
        <f t="shared" si="28"/>
        <v>2016</v>
      </c>
      <c r="J228" s="549">
        <v>2400</v>
      </c>
      <c r="K228" s="134">
        <f t="shared" si="29"/>
        <v>6391.2686000887979</v>
      </c>
      <c r="L228" s="412">
        <v>7500</v>
      </c>
      <c r="M228" s="412"/>
      <c r="N228" s="455"/>
      <c r="O228" s="455"/>
      <c r="P228" s="455"/>
      <c r="Q228" s="455"/>
      <c r="R228" s="455"/>
    </row>
    <row r="229" spans="1:18" ht="16.5" customHeight="1">
      <c r="A229" s="792">
        <f t="shared" si="30"/>
        <v>96</v>
      </c>
      <c r="B229" s="161" t="s">
        <v>811</v>
      </c>
      <c r="C229" s="472">
        <v>42725</v>
      </c>
      <c r="D229" s="473" t="s">
        <v>898</v>
      </c>
      <c r="E229" s="537">
        <v>50</v>
      </c>
      <c r="F229" s="538">
        <v>29.5</v>
      </c>
      <c r="G229" s="538">
        <v>19</v>
      </c>
      <c r="H229" s="574">
        <f t="shared" si="31"/>
        <v>0.84</v>
      </c>
      <c r="I229" s="134">
        <f t="shared" si="28"/>
        <v>2016</v>
      </c>
      <c r="J229" s="549">
        <v>2400</v>
      </c>
      <c r="K229" s="134">
        <f t="shared" si="29"/>
        <v>6391.2686000887979</v>
      </c>
      <c r="L229" s="412">
        <v>7500</v>
      </c>
      <c r="M229" s="412"/>
      <c r="N229" s="455"/>
      <c r="O229" s="455"/>
      <c r="P229" s="455"/>
      <c r="Q229" s="455"/>
      <c r="R229" s="455"/>
    </row>
    <row r="230" spans="1:18" ht="16.5" customHeight="1">
      <c r="A230" s="792">
        <f t="shared" si="30"/>
        <v>97</v>
      </c>
      <c r="B230" s="161" t="s">
        <v>900</v>
      </c>
      <c r="C230" s="472">
        <v>42726</v>
      </c>
      <c r="D230" s="473" t="s">
        <v>899</v>
      </c>
      <c r="E230" s="537">
        <v>48</v>
      </c>
      <c r="F230" s="538">
        <v>42</v>
      </c>
      <c r="G230" s="538">
        <v>25</v>
      </c>
      <c r="H230" s="574">
        <f t="shared" si="31"/>
        <v>1.3</v>
      </c>
      <c r="I230" s="134">
        <f t="shared" ref="I230:I261" si="32">H230*J230</f>
        <v>370.5</v>
      </c>
      <c r="J230" s="549">
        <v>285</v>
      </c>
      <c r="K230" s="134">
        <f t="shared" ref="K230:K271" si="33">H230*$R$170</f>
        <v>9891.2490239469498</v>
      </c>
      <c r="L230" s="412">
        <v>10100</v>
      </c>
      <c r="M230" s="412"/>
      <c r="N230" s="455"/>
      <c r="O230" s="455"/>
      <c r="P230" s="455"/>
      <c r="Q230" s="455"/>
      <c r="R230" s="455"/>
    </row>
    <row r="231" spans="1:18" ht="16.5" customHeight="1">
      <c r="A231" s="792">
        <f t="shared" si="30"/>
        <v>98</v>
      </c>
      <c r="B231" s="161" t="s">
        <v>901</v>
      </c>
      <c r="C231" s="472">
        <v>42726</v>
      </c>
      <c r="D231" s="473" t="s">
        <v>899</v>
      </c>
      <c r="E231" s="537">
        <v>48</v>
      </c>
      <c r="F231" s="538">
        <v>37</v>
      </c>
      <c r="G231" s="538">
        <v>31</v>
      </c>
      <c r="H231" s="574">
        <f t="shared" si="31"/>
        <v>1.24</v>
      </c>
      <c r="I231" s="134">
        <f t="shared" si="32"/>
        <v>136.4</v>
      </c>
      <c r="J231" s="549">
        <v>110</v>
      </c>
      <c r="K231" s="134">
        <f t="shared" si="33"/>
        <v>9434.7298382263216</v>
      </c>
      <c r="L231" s="412">
        <v>9640</v>
      </c>
      <c r="M231" s="412"/>
      <c r="N231" s="455"/>
      <c r="O231" s="455"/>
      <c r="P231" s="455"/>
      <c r="Q231" s="455"/>
      <c r="R231" s="455"/>
    </row>
    <row r="232" spans="1:18" ht="16.5" customHeight="1">
      <c r="A232" s="792">
        <f t="shared" si="30"/>
        <v>99</v>
      </c>
      <c r="B232" s="161" t="s">
        <v>902</v>
      </c>
      <c r="C232" s="472">
        <v>42726</v>
      </c>
      <c r="D232" s="473" t="s">
        <v>899</v>
      </c>
      <c r="E232" s="537">
        <v>42</v>
      </c>
      <c r="F232" s="538">
        <v>42</v>
      </c>
      <c r="G232" s="538">
        <v>29</v>
      </c>
      <c r="H232" s="574">
        <f t="shared" si="31"/>
        <v>1.28</v>
      </c>
      <c r="I232" s="134">
        <f t="shared" si="32"/>
        <v>204.8</v>
      </c>
      <c r="J232" s="549">
        <v>160</v>
      </c>
      <c r="K232" s="134">
        <f t="shared" si="33"/>
        <v>9739.075962040075</v>
      </c>
      <c r="L232" s="412">
        <v>9940</v>
      </c>
      <c r="M232" s="412"/>
      <c r="N232" s="455"/>
      <c r="O232" s="455"/>
      <c r="P232" s="455"/>
      <c r="Q232" s="455"/>
      <c r="R232" s="455"/>
    </row>
    <row r="233" spans="1:18" ht="16.5" customHeight="1">
      <c r="A233" s="792">
        <f t="shared" si="30"/>
        <v>100</v>
      </c>
      <c r="B233" s="161" t="s">
        <v>499</v>
      </c>
      <c r="C233" s="472">
        <v>42726</v>
      </c>
      <c r="D233" s="473" t="s">
        <v>899</v>
      </c>
      <c r="E233" s="537">
        <v>48</v>
      </c>
      <c r="F233" s="538">
        <v>41</v>
      </c>
      <c r="G233" s="538">
        <v>29</v>
      </c>
      <c r="H233" s="574">
        <f t="shared" si="31"/>
        <v>1.34</v>
      </c>
      <c r="I233" s="134">
        <f t="shared" si="32"/>
        <v>737</v>
      </c>
      <c r="J233" s="549">
        <v>550</v>
      </c>
      <c r="K233" s="134">
        <f t="shared" si="33"/>
        <v>10195.595147760703</v>
      </c>
      <c r="L233" s="412">
        <v>14500</v>
      </c>
      <c r="M233" s="412"/>
      <c r="N233" s="455"/>
      <c r="O233" s="455"/>
      <c r="P233" s="455"/>
      <c r="Q233" s="455"/>
      <c r="R233" s="455"/>
    </row>
    <row r="234" spans="1:18" ht="16.5" customHeight="1">
      <c r="A234" s="792">
        <f t="shared" si="30"/>
        <v>101</v>
      </c>
      <c r="B234" s="161" t="s">
        <v>904</v>
      </c>
      <c r="C234" s="472">
        <v>42726</v>
      </c>
      <c r="D234" s="473" t="s">
        <v>903</v>
      </c>
      <c r="E234" s="537">
        <v>53</v>
      </c>
      <c r="F234" s="538">
        <v>42</v>
      </c>
      <c r="G234" s="538">
        <v>40</v>
      </c>
      <c r="H234" s="574">
        <f t="shared" si="31"/>
        <v>1.66</v>
      </c>
      <c r="I234" s="134">
        <f t="shared" si="32"/>
        <v>456.5</v>
      </c>
      <c r="J234" s="549">
        <v>275</v>
      </c>
      <c r="K234" s="134">
        <f t="shared" si="33"/>
        <v>12630.364138270721</v>
      </c>
      <c r="L234" s="412">
        <v>18800</v>
      </c>
      <c r="M234" s="412"/>
      <c r="N234" s="455"/>
      <c r="O234" s="455"/>
      <c r="P234" s="455"/>
      <c r="Q234" s="455"/>
      <c r="R234" s="582"/>
    </row>
    <row r="235" spans="1:18" ht="16.5" customHeight="1">
      <c r="A235" s="792">
        <f t="shared" si="30"/>
        <v>102</v>
      </c>
      <c r="B235" s="161" t="s">
        <v>905</v>
      </c>
      <c r="C235" s="472">
        <v>42726</v>
      </c>
      <c r="D235" s="473" t="s">
        <v>903</v>
      </c>
      <c r="E235" s="537">
        <v>48</v>
      </c>
      <c r="F235" s="538">
        <v>41</v>
      </c>
      <c r="G235" s="538">
        <v>33</v>
      </c>
      <c r="H235" s="574">
        <f t="shared" si="31"/>
        <v>1.41</v>
      </c>
      <c r="I235" s="134">
        <f t="shared" si="32"/>
        <v>93.059999999999988</v>
      </c>
      <c r="J235" s="549">
        <v>66</v>
      </c>
      <c r="K235" s="134">
        <f t="shared" si="33"/>
        <v>10728.200864434768</v>
      </c>
      <c r="L235" s="412">
        <v>18000</v>
      </c>
      <c r="M235" s="412"/>
      <c r="N235" s="455"/>
      <c r="O235" s="455"/>
      <c r="P235" s="455"/>
      <c r="Q235" s="455"/>
      <c r="R235" s="455"/>
    </row>
    <row r="236" spans="1:18" ht="16.5" customHeight="1">
      <c r="A236" s="792">
        <f t="shared" si="30"/>
        <v>103</v>
      </c>
      <c r="B236" s="161" t="s">
        <v>499</v>
      </c>
      <c r="C236" s="472">
        <v>42726</v>
      </c>
      <c r="D236" s="473" t="s">
        <v>903</v>
      </c>
      <c r="E236" s="537">
        <v>48</v>
      </c>
      <c r="F236" s="538">
        <v>41</v>
      </c>
      <c r="G236" s="538">
        <v>29</v>
      </c>
      <c r="H236" s="574">
        <f t="shared" si="31"/>
        <v>1.34</v>
      </c>
      <c r="I236" s="134">
        <f t="shared" si="32"/>
        <v>221.10000000000002</v>
      </c>
      <c r="J236" s="549">
        <v>165</v>
      </c>
      <c r="K236" s="134">
        <f t="shared" si="33"/>
        <v>10195.595147760703</v>
      </c>
      <c r="L236" s="412">
        <v>14500</v>
      </c>
      <c r="M236" s="412"/>
      <c r="N236" s="455"/>
      <c r="O236" s="455"/>
      <c r="P236" s="455"/>
      <c r="Q236" s="455"/>
      <c r="R236" s="455"/>
    </row>
    <row r="237" spans="1:18" ht="16.5" customHeight="1">
      <c r="A237" s="792">
        <f t="shared" si="30"/>
        <v>104</v>
      </c>
      <c r="B237" s="161" t="s">
        <v>507</v>
      </c>
      <c r="C237" s="472">
        <v>42726</v>
      </c>
      <c r="D237" s="473" t="s">
        <v>903</v>
      </c>
      <c r="E237" s="537">
        <v>50</v>
      </c>
      <c r="F237" s="538">
        <v>40</v>
      </c>
      <c r="G237" s="538"/>
      <c r="H237" s="574">
        <f t="shared" si="31"/>
        <v>0.2</v>
      </c>
      <c r="I237" s="134">
        <f t="shared" si="32"/>
        <v>110</v>
      </c>
      <c r="J237" s="549">
        <v>550</v>
      </c>
      <c r="K237" s="134">
        <f t="shared" si="33"/>
        <v>1521.7306190687616</v>
      </c>
      <c r="L237" s="412">
        <v>1230</v>
      </c>
      <c r="M237" s="412"/>
      <c r="N237" s="455"/>
      <c r="O237" s="455"/>
      <c r="P237" s="455"/>
      <c r="Q237" s="455"/>
      <c r="R237" s="455"/>
    </row>
    <row r="238" spans="1:18" ht="16.5" customHeight="1">
      <c r="A238" s="792">
        <f t="shared" si="30"/>
        <v>105</v>
      </c>
      <c r="B238" s="161" t="s">
        <v>906</v>
      </c>
      <c r="C238" s="472">
        <v>42726</v>
      </c>
      <c r="D238" s="473" t="s">
        <v>903</v>
      </c>
      <c r="E238" s="537">
        <v>45</v>
      </c>
      <c r="F238" s="538">
        <v>39</v>
      </c>
      <c r="G238" s="538"/>
      <c r="H238" s="574">
        <f t="shared" si="31"/>
        <v>0.18</v>
      </c>
      <c r="I238" s="134">
        <f t="shared" si="32"/>
        <v>23.759999999999998</v>
      </c>
      <c r="J238" s="549">
        <v>132</v>
      </c>
      <c r="K238" s="134">
        <f t="shared" si="33"/>
        <v>1369.5575571618854</v>
      </c>
      <c r="L238" s="412">
        <v>1100</v>
      </c>
      <c r="M238" s="412"/>
      <c r="N238" s="455"/>
      <c r="O238" s="455"/>
      <c r="P238" s="455"/>
      <c r="Q238" s="455"/>
      <c r="R238" s="455"/>
    </row>
    <row r="239" spans="1:18" ht="16.5" customHeight="1">
      <c r="A239" s="792">
        <f t="shared" si="30"/>
        <v>106</v>
      </c>
      <c r="B239" s="161" t="s">
        <v>498</v>
      </c>
      <c r="C239" s="472">
        <v>42726</v>
      </c>
      <c r="D239" s="473" t="s">
        <v>907</v>
      </c>
      <c r="E239" s="537">
        <v>47</v>
      </c>
      <c r="F239" s="538">
        <v>42</v>
      </c>
      <c r="G239" s="538">
        <v>25</v>
      </c>
      <c r="H239" s="574">
        <f t="shared" si="31"/>
        <v>1.28</v>
      </c>
      <c r="I239" s="134">
        <f t="shared" si="32"/>
        <v>730.88</v>
      </c>
      <c r="J239" s="549">
        <v>571</v>
      </c>
      <c r="K239" s="134">
        <f t="shared" si="33"/>
        <v>9739.075962040075</v>
      </c>
      <c r="L239" s="412">
        <v>9530</v>
      </c>
      <c r="M239" s="412"/>
      <c r="N239" s="455"/>
      <c r="O239" s="455"/>
      <c r="P239" s="455"/>
      <c r="Q239" s="455"/>
      <c r="R239" s="455"/>
    </row>
    <row r="240" spans="1:18" ht="16.5" customHeight="1">
      <c r="A240" s="792">
        <f t="shared" si="30"/>
        <v>107</v>
      </c>
      <c r="B240" s="161" t="s">
        <v>498</v>
      </c>
      <c r="C240" s="472">
        <v>42726</v>
      </c>
      <c r="D240" s="473" t="s">
        <v>908</v>
      </c>
      <c r="E240" s="537">
        <v>47</v>
      </c>
      <c r="F240" s="538">
        <v>42</v>
      </c>
      <c r="G240" s="538">
        <v>25</v>
      </c>
      <c r="H240" s="574">
        <f t="shared" si="31"/>
        <v>1.28</v>
      </c>
      <c r="I240" s="134">
        <f t="shared" si="32"/>
        <v>810.24</v>
      </c>
      <c r="J240" s="549">
        <v>633</v>
      </c>
      <c r="K240" s="134">
        <f t="shared" si="33"/>
        <v>9739.075962040075</v>
      </c>
      <c r="L240" s="412">
        <v>9530</v>
      </c>
      <c r="M240" s="412"/>
      <c r="N240" s="455"/>
      <c r="O240" s="455"/>
      <c r="P240" s="455"/>
      <c r="Q240" s="455"/>
      <c r="R240" s="455"/>
    </row>
    <row r="241" spans="1:18" ht="16.5" customHeight="1">
      <c r="A241" s="792">
        <f t="shared" si="30"/>
        <v>108</v>
      </c>
      <c r="B241" s="161" t="s">
        <v>527</v>
      </c>
      <c r="C241" s="472">
        <v>42726</v>
      </c>
      <c r="D241" s="473" t="s">
        <v>909</v>
      </c>
      <c r="E241" s="537">
        <v>103</v>
      </c>
      <c r="F241" s="538">
        <v>50</v>
      </c>
      <c r="G241" s="538">
        <v>180</v>
      </c>
      <c r="H241" s="574">
        <f t="shared" si="31"/>
        <v>7.25</v>
      </c>
      <c r="I241" s="134">
        <f t="shared" si="32"/>
        <v>2088</v>
      </c>
      <c r="J241" s="549">
        <v>288</v>
      </c>
      <c r="K241" s="134">
        <f t="shared" si="33"/>
        <v>55162.734941242605</v>
      </c>
      <c r="L241" s="412">
        <v>47449</v>
      </c>
      <c r="M241" s="412"/>
      <c r="N241" s="455"/>
      <c r="O241" s="455"/>
      <c r="P241" s="455"/>
      <c r="Q241" s="455"/>
      <c r="R241" s="455"/>
    </row>
    <row r="242" spans="1:18" ht="16.5" customHeight="1">
      <c r="A242" s="792">
        <f t="shared" si="30"/>
        <v>109</v>
      </c>
      <c r="B242" s="161" t="s">
        <v>910</v>
      </c>
      <c r="C242" s="472">
        <v>42726</v>
      </c>
      <c r="D242" s="473" t="s">
        <v>909</v>
      </c>
      <c r="E242" s="537">
        <v>76</v>
      </c>
      <c r="F242" s="538">
        <v>54</v>
      </c>
      <c r="G242" s="538">
        <v>140</v>
      </c>
      <c r="H242" s="574">
        <f t="shared" si="31"/>
        <v>5.22</v>
      </c>
      <c r="I242" s="134">
        <f t="shared" si="32"/>
        <v>125.28</v>
      </c>
      <c r="J242" s="549">
        <v>24</v>
      </c>
      <c r="K242" s="134">
        <f t="shared" si="33"/>
        <v>39717.169157694676</v>
      </c>
      <c r="L242" s="412">
        <v>35000</v>
      </c>
      <c r="M242" s="412"/>
      <c r="N242" s="455"/>
      <c r="O242" s="455"/>
      <c r="P242" s="455"/>
      <c r="Q242" s="455"/>
      <c r="R242" s="455"/>
    </row>
    <row r="243" spans="1:18" ht="16.5" customHeight="1">
      <c r="A243" s="792">
        <f t="shared" si="30"/>
        <v>110</v>
      </c>
      <c r="B243" s="161" t="s">
        <v>811</v>
      </c>
      <c r="C243" s="472">
        <v>42726</v>
      </c>
      <c r="D243" s="473" t="s">
        <v>911</v>
      </c>
      <c r="E243" s="537">
        <v>50</v>
      </c>
      <c r="F243" s="538">
        <v>29.5</v>
      </c>
      <c r="G243" s="538">
        <v>19</v>
      </c>
      <c r="H243" s="574">
        <f t="shared" si="31"/>
        <v>0.84</v>
      </c>
      <c r="I243" s="134">
        <f t="shared" si="32"/>
        <v>462</v>
      </c>
      <c r="J243" s="549">
        <v>550</v>
      </c>
      <c r="K243" s="134">
        <f t="shared" si="33"/>
        <v>6391.2686000887979</v>
      </c>
      <c r="L243" s="412">
        <v>7500</v>
      </c>
      <c r="M243" s="412"/>
      <c r="N243" s="455"/>
      <c r="O243" s="455"/>
      <c r="P243" s="455"/>
      <c r="Q243" s="455"/>
      <c r="R243" s="455"/>
    </row>
    <row r="244" spans="1:18" ht="16.5" customHeight="1">
      <c r="A244" s="792">
        <f t="shared" si="30"/>
        <v>111</v>
      </c>
      <c r="B244" s="161" t="s">
        <v>811</v>
      </c>
      <c r="C244" s="472">
        <v>42727</v>
      </c>
      <c r="D244" s="473" t="s">
        <v>912</v>
      </c>
      <c r="E244" s="537">
        <v>50</v>
      </c>
      <c r="F244" s="538">
        <v>29.5</v>
      </c>
      <c r="G244" s="538">
        <v>19</v>
      </c>
      <c r="H244" s="574">
        <f t="shared" si="31"/>
        <v>0.84</v>
      </c>
      <c r="I244" s="134">
        <f t="shared" si="32"/>
        <v>2016</v>
      </c>
      <c r="J244" s="549">
        <v>2400</v>
      </c>
      <c r="K244" s="134">
        <f t="shared" si="33"/>
        <v>6391.2686000887979</v>
      </c>
      <c r="L244" s="412">
        <v>7500</v>
      </c>
      <c r="M244" s="412"/>
      <c r="N244" s="455"/>
      <c r="O244" s="455"/>
      <c r="P244" s="455"/>
      <c r="Q244" s="455"/>
      <c r="R244" s="455"/>
    </row>
    <row r="245" spans="1:18" ht="16.5" customHeight="1">
      <c r="A245" s="792">
        <f t="shared" si="30"/>
        <v>112</v>
      </c>
      <c r="B245" s="161" t="s">
        <v>914</v>
      </c>
      <c r="C245" s="472">
        <v>42728</v>
      </c>
      <c r="D245" s="473" t="s">
        <v>913</v>
      </c>
      <c r="E245" s="537">
        <v>56</v>
      </c>
      <c r="F245" s="538">
        <v>33</v>
      </c>
      <c r="G245" s="538">
        <v>26.5</v>
      </c>
      <c r="H245" s="574">
        <f t="shared" si="31"/>
        <v>1.1399999999999999</v>
      </c>
      <c r="I245" s="134">
        <f t="shared" si="32"/>
        <v>1151.3999999999999</v>
      </c>
      <c r="J245" s="549">
        <v>1010</v>
      </c>
      <c r="K245" s="134">
        <f t="shared" si="33"/>
        <v>8673.86452869194</v>
      </c>
      <c r="L245" s="412">
        <v>12700</v>
      </c>
      <c r="M245" s="412"/>
      <c r="N245" s="455"/>
      <c r="O245" s="455"/>
      <c r="P245" s="455"/>
      <c r="Q245" s="455"/>
      <c r="R245" s="455"/>
    </row>
    <row r="246" spans="1:18" ht="16.5" customHeight="1">
      <c r="A246" s="792">
        <f t="shared" si="30"/>
        <v>113</v>
      </c>
      <c r="B246" s="161" t="s">
        <v>915</v>
      </c>
      <c r="C246" s="472">
        <v>42728</v>
      </c>
      <c r="D246" s="473" t="s">
        <v>913</v>
      </c>
      <c r="E246" s="537">
        <v>55</v>
      </c>
      <c r="F246" s="538">
        <v>28.5</v>
      </c>
      <c r="G246" s="538">
        <v>25.5</v>
      </c>
      <c r="H246" s="574">
        <f t="shared" si="31"/>
        <v>0.98</v>
      </c>
      <c r="I246" s="134">
        <f t="shared" si="32"/>
        <v>985.88</v>
      </c>
      <c r="J246" s="549">
        <v>1006</v>
      </c>
      <c r="K246" s="134">
        <f t="shared" si="33"/>
        <v>7456.4800334369311</v>
      </c>
      <c r="L246" s="412">
        <v>10900</v>
      </c>
      <c r="M246" s="412"/>
      <c r="N246" s="455"/>
      <c r="O246" s="455"/>
      <c r="P246" s="455"/>
      <c r="Q246" s="455"/>
      <c r="R246" s="455"/>
    </row>
    <row r="247" spans="1:18" ht="16.5" customHeight="1">
      <c r="A247" s="792">
        <f t="shared" si="30"/>
        <v>114</v>
      </c>
      <c r="B247" s="161" t="s">
        <v>811</v>
      </c>
      <c r="C247" s="472">
        <v>42728</v>
      </c>
      <c r="D247" s="473" t="s">
        <v>916</v>
      </c>
      <c r="E247" s="537">
        <v>50</v>
      </c>
      <c r="F247" s="538">
        <v>29.5</v>
      </c>
      <c r="G247" s="538">
        <v>19</v>
      </c>
      <c r="H247" s="574">
        <f t="shared" si="24"/>
        <v>0.84</v>
      </c>
      <c r="I247" s="134">
        <f t="shared" si="32"/>
        <v>2016</v>
      </c>
      <c r="J247" s="549">
        <v>2400</v>
      </c>
      <c r="K247" s="134">
        <f t="shared" si="33"/>
        <v>6391.2686000887979</v>
      </c>
      <c r="L247" s="412">
        <v>7500</v>
      </c>
      <c r="M247" s="412"/>
      <c r="N247" s="455"/>
      <c r="O247" s="455"/>
      <c r="P247" s="455"/>
      <c r="Q247" s="455"/>
      <c r="R247" s="455"/>
    </row>
    <row r="248" spans="1:18" ht="16.5" customHeight="1">
      <c r="A248" s="792">
        <f t="shared" si="30"/>
        <v>115</v>
      </c>
      <c r="B248" s="161" t="s">
        <v>918</v>
      </c>
      <c r="C248" s="472">
        <v>42729</v>
      </c>
      <c r="D248" s="473" t="s">
        <v>917</v>
      </c>
      <c r="E248" s="537">
        <v>52.5</v>
      </c>
      <c r="F248" s="538">
        <v>31.5</v>
      </c>
      <c r="G248" s="538">
        <v>21</v>
      </c>
      <c r="H248" s="574">
        <f t="shared" si="24"/>
        <v>0.96</v>
      </c>
      <c r="I248" s="134">
        <f t="shared" si="32"/>
        <v>1027.2</v>
      </c>
      <c r="J248" s="549">
        <v>1070</v>
      </c>
      <c r="K248" s="134">
        <f t="shared" si="33"/>
        <v>7304.3069715300553</v>
      </c>
      <c r="L248" s="412">
        <v>9700</v>
      </c>
      <c r="M248" s="412"/>
      <c r="N248" s="455"/>
      <c r="O248" s="455"/>
      <c r="P248" s="455"/>
      <c r="Q248" s="455"/>
      <c r="R248" s="455"/>
    </row>
    <row r="249" spans="1:18" ht="16.5" customHeight="1">
      <c r="A249" s="792">
        <f t="shared" si="30"/>
        <v>116</v>
      </c>
      <c r="B249" s="161" t="s">
        <v>811</v>
      </c>
      <c r="C249" s="472">
        <v>42729</v>
      </c>
      <c r="D249" s="473" t="s">
        <v>920</v>
      </c>
      <c r="E249" s="537">
        <v>50</v>
      </c>
      <c r="F249" s="538">
        <v>29.5</v>
      </c>
      <c r="G249" s="538">
        <v>19</v>
      </c>
      <c r="H249" s="574">
        <f t="shared" si="24"/>
        <v>0.84</v>
      </c>
      <c r="I249" s="134">
        <f t="shared" si="32"/>
        <v>2016</v>
      </c>
      <c r="J249" s="549">
        <v>2400</v>
      </c>
      <c r="K249" s="134">
        <f t="shared" si="33"/>
        <v>6391.2686000887979</v>
      </c>
      <c r="L249" s="412">
        <v>7500</v>
      </c>
      <c r="M249" s="412"/>
      <c r="N249" s="455"/>
      <c r="O249" s="455"/>
      <c r="P249" s="455"/>
      <c r="Q249" s="455"/>
      <c r="R249" s="455"/>
    </row>
    <row r="250" spans="1:18" ht="16.5" customHeight="1">
      <c r="A250" s="792">
        <f t="shared" si="30"/>
        <v>117</v>
      </c>
      <c r="B250" s="161" t="s">
        <v>811</v>
      </c>
      <c r="C250" s="472">
        <v>42730</v>
      </c>
      <c r="D250" s="473" t="s">
        <v>921</v>
      </c>
      <c r="E250" s="537">
        <v>50</v>
      </c>
      <c r="F250" s="538">
        <v>29.5</v>
      </c>
      <c r="G250" s="538">
        <v>19</v>
      </c>
      <c r="H250" s="574">
        <f t="shared" si="24"/>
        <v>0.84</v>
      </c>
      <c r="I250" s="134">
        <f t="shared" si="32"/>
        <v>1008</v>
      </c>
      <c r="J250" s="549">
        <v>1200</v>
      </c>
      <c r="K250" s="134">
        <f t="shared" si="33"/>
        <v>6391.2686000887979</v>
      </c>
      <c r="L250" s="412">
        <v>7500</v>
      </c>
      <c r="M250" s="412"/>
      <c r="N250" s="455"/>
      <c r="O250" s="455"/>
      <c r="P250" s="455"/>
      <c r="Q250" s="455"/>
      <c r="R250" s="455"/>
    </row>
    <row r="251" spans="1:18" ht="16.5" customHeight="1">
      <c r="A251" s="792">
        <f t="shared" si="30"/>
        <v>118</v>
      </c>
      <c r="B251" s="161" t="s">
        <v>811</v>
      </c>
      <c r="C251" s="472">
        <v>42731</v>
      </c>
      <c r="D251" s="473" t="s">
        <v>922</v>
      </c>
      <c r="E251" s="537">
        <v>50</v>
      </c>
      <c r="F251" s="538">
        <v>29.5</v>
      </c>
      <c r="G251" s="538">
        <v>19</v>
      </c>
      <c r="H251" s="574">
        <f t="shared" si="24"/>
        <v>0.84</v>
      </c>
      <c r="I251" s="134">
        <f t="shared" si="32"/>
        <v>1159.2</v>
      </c>
      <c r="J251" s="549">
        <v>1380</v>
      </c>
      <c r="K251" s="134">
        <f t="shared" si="33"/>
        <v>6391.2686000887979</v>
      </c>
      <c r="L251" s="412">
        <v>7500</v>
      </c>
      <c r="M251" s="412"/>
      <c r="N251" s="455"/>
      <c r="O251" s="455"/>
      <c r="P251" s="455"/>
      <c r="Q251" s="455"/>
      <c r="R251" s="455"/>
    </row>
    <row r="252" spans="1:18" ht="16.5" customHeight="1">
      <c r="A252" s="792">
        <f t="shared" si="30"/>
        <v>119</v>
      </c>
      <c r="B252" s="161" t="s">
        <v>811</v>
      </c>
      <c r="C252" s="472">
        <v>42732</v>
      </c>
      <c r="D252" s="473" t="s">
        <v>923</v>
      </c>
      <c r="E252" s="537">
        <v>50</v>
      </c>
      <c r="F252" s="538">
        <v>29.5</v>
      </c>
      <c r="G252" s="538">
        <v>19</v>
      </c>
      <c r="H252" s="574">
        <f t="shared" si="24"/>
        <v>0.84</v>
      </c>
      <c r="I252" s="134">
        <f t="shared" si="32"/>
        <v>1705.2</v>
      </c>
      <c r="J252" s="549">
        <v>2030</v>
      </c>
      <c r="K252" s="134">
        <f t="shared" si="33"/>
        <v>6391.2686000887979</v>
      </c>
      <c r="L252" s="412">
        <v>7500</v>
      </c>
      <c r="M252" s="412"/>
      <c r="N252" s="455"/>
      <c r="O252" s="455"/>
      <c r="P252" s="455"/>
      <c r="Q252" s="455"/>
      <c r="R252" s="455"/>
    </row>
    <row r="253" spans="1:18" ht="16.5" customHeight="1">
      <c r="A253" s="792">
        <f t="shared" si="30"/>
        <v>120</v>
      </c>
      <c r="B253" s="161" t="s">
        <v>959</v>
      </c>
      <c r="C253" s="472">
        <v>42732</v>
      </c>
      <c r="D253" s="473" t="s">
        <v>958</v>
      </c>
      <c r="E253" s="537">
        <v>51</v>
      </c>
      <c r="F253" s="538">
        <v>37</v>
      </c>
      <c r="G253" s="538">
        <v>27</v>
      </c>
      <c r="H253" s="574">
        <f t="shared" si="24"/>
        <v>1.21</v>
      </c>
      <c r="I253" s="134">
        <f t="shared" si="32"/>
        <v>227.48</v>
      </c>
      <c r="J253" s="549">
        <v>188</v>
      </c>
      <c r="K253" s="134">
        <f t="shared" si="33"/>
        <v>9206.4702453660066</v>
      </c>
      <c r="L253" s="412">
        <v>14000</v>
      </c>
      <c r="M253" s="412"/>
      <c r="N253" s="455"/>
      <c r="O253" s="455"/>
      <c r="P253" s="455"/>
      <c r="Q253" s="455"/>
      <c r="R253" s="455"/>
    </row>
    <row r="254" spans="1:18" ht="16.5" customHeight="1">
      <c r="A254" s="792">
        <f t="shared" si="30"/>
        <v>121</v>
      </c>
      <c r="B254" s="161" t="s">
        <v>509</v>
      </c>
      <c r="C254" s="472">
        <v>42732</v>
      </c>
      <c r="D254" s="473" t="s">
        <v>925</v>
      </c>
      <c r="E254" s="537">
        <v>49.5</v>
      </c>
      <c r="F254" s="538">
        <v>38.5</v>
      </c>
      <c r="G254" s="538">
        <v>32.5</v>
      </c>
      <c r="H254" s="574">
        <f t="shared" si="24"/>
        <v>1.34</v>
      </c>
      <c r="I254" s="134">
        <f t="shared" si="32"/>
        <v>280.06</v>
      </c>
      <c r="J254" s="549">
        <v>209</v>
      </c>
      <c r="K254" s="134">
        <f t="shared" si="33"/>
        <v>10195.595147760703</v>
      </c>
      <c r="L254" s="412">
        <v>12900</v>
      </c>
      <c r="M254" s="412"/>
      <c r="N254" s="455"/>
      <c r="O254" s="455"/>
      <c r="P254" s="455"/>
      <c r="Q254" s="455"/>
      <c r="R254" s="455"/>
    </row>
    <row r="255" spans="1:18" ht="16.5" customHeight="1">
      <c r="A255" s="792">
        <f t="shared" si="30"/>
        <v>122</v>
      </c>
      <c r="B255" s="161" t="s">
        <v>926</v>
      </c>
      <c r="C255" s="472">
        <v>42732</v>
      </c>
      <c r="D255" s="473" t="s">
        <v>924</v>
      </c>
      <c r="E255" s="537">
        <v>60</v>
      </c>
      <c r="F255" s="538">
        <v>40</v>
      </c>
      <c r="G255" s="538">
        <v>28</v>
      </c>
      <c r="H255" s="574">
        <f t="shared" si="24"/>
        <v>1.46</v>
      </c>
      <c r="I255" s="134">
        <f t="shared" si="32"/>
        <v>356.24</v>
      </c>
      <c r="J255" s="549">
        <v>244</v>
      </c>
      <c r="K255" s="134">
        <f t="shared" si="33"/>
        <v>11108.63351920196</v>
      </c>
      <c r="L255" s="412">
        <v>22848</v>
      </c>
      <c r="M255" s="412"/>
      <c r="N255" s="455"/>
      <c r="O255" s="455"/>
      <c r="P255" s="455"/>
      <c r="Q255" s="455"/>
      <c r="R255" s="455"/>
    </row>
    <row r="256" spans="1:18" ht="16.5" customHeight="1">
      <c r="A256" s="792">
        <f t="shared" si="30"/>
        <v>123</v>
      </c>
      <c r="B256" s="161" t="s">
        <v>927</v>
      </c>
      <c r="C256" s="472">
        <v>42732</v>
      </c>
      <c r="D256" s="473" t="s">
        <v>924</v>
      </c>
      <c r="E256" s="537">
        <v>60</v>
      </c>
      <c r="F256" s="538">
        <v>40</v>
      </c>
      <c r="G256" s="538">
        <v>24</v>
      </c>
      <c r="H256" s="574">
        <f t="shared" si="24"/>
        <v>1.37</v>
      </c>
      <c r="I256" s="134">
        <f t="shared" si="32"/>
        <v>334.28000000000003</v>
      </c>
      <c r="J256" s="549">
        <v>244</v>
      </c>
      <c r="K256" s="134">
        <f t="shared" si="33"/>
        <v>10423.854740621018</v>
      </c>
      <c r="L256" s="412">
        <v>21542</v>
      </c>
      <c r="M256" s="412"/>
      <c r="N256" s="455"/>
      <c r="O256" s="455"/>
      <c r="P256" s="455"/>
      <c r="Q256" s="455"/>
      <c r="R256" s="455"/>
    </row>
    <row r="257" spans="1:18" ht="16.5" customHeight="1">
      <c r="A257" s="792">
        <f t="shared" si="30"/>
        <v>124</v>
      </c>
      <c r="B257" s="161" t="s">
        <v>928</v>
      </c>
      <c r="C257" s="472">
        <v>42732</v>
      </c>
      <c r="D257" s="473" t="s">
        <v>924</v>
      </c>
      <c r="E257" s="537">
        <v>58</v>
      </c>
      <c r="F257" s="538">
        <v>26</v>
      </c>
      <c r="G257" s="538"/>
      <c r="H257" s="574">
        <f t="shared" si="24"/>
        <v>0.15</v>
      </c>
      <c r="I257" s="134">
        <f t="shared" si="32"/>
        <v>36.6</v>
      </c>
      <c r="J257" s="549">
        <v>244</v>
      </c>
      <c r="K257" s="134">
        <f t="shared" si="33"/>
        <v>1141.297964301571</v>
      </c>
      <c r="L257" s="412">
        <v>905</v>
      </c>
      <c r="M257" s="412"/>
      <c r="N257" s="455"/>
      <c r="O257" s="455"/>
      <c r="P257" s="455"/>
      <c r="Q257" s="455"/>
      <c r="R257" s="455"/>
    </row>
    <row r="258" spans="1:18" ht="16.5" customHeight="1">
      <c r="A258" s="792">
        <f t="shared" si="30"/>
        <v>125</v>
      </c>
      <c r="B258" s="161" t="s">
        <v>929</v>
      </c>
      <c r="C258" s="472">
        <v>42732</v>
      </c>
      <c r="D258" s="473" t="s">
        <v>924</v>
      </c>
      <c r="E258" s="537">
        <v>58</v>
      </c>
      <c r="F258" s="538">
        <v>22</v>
      </c>
      <c r="G258" s="538"/>
      <c r="H258" s="57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49">
        <v>244</v>
      </c>
      <c r="K258" s="134">
        <f t="shared" si="33"/>
        <v>989.12490239469503</v>
      </c>
      <c r="L258" s="412">
        <v>766</v>
      </c>
      <c r="M258" s="412"/>
      <c r="N258" s="455"/>
      <c r="O258" s="455"/>
      <c r="P258" s="455"/>
      <c r="Q258" s="455"/>
      <c r="R258" s="455"/>
    </row>
    <row r="259" spans="1:18" ht="16.5" customHeight="1">
      <c r="A259" s="792">
        <f t="shared" si="30"/>
        <v>126</v>
      </c>
      <c r="B259" s="161" t="s">
        <v>930</v>
      </c>
      <c r="C259" s="472">
        <v>42732</v>
      </c>
      <c r="D259" s="473" t="s">
        <v>924</v>
      </c>
      <c r="E259" s="537">
        <v>38</v>
      </c>
      <c r="F259" s="538">
        <v>26</v>
      </c>
      <c r="G259" s="538"/>
      <c r="H259" s="574">
        <f t="shared" si="34"/>
        <v>0.1</v>
      </c>
      <c r="I259" s="134">
        <f t="shared" si="32"/>
        <v>24.400000000000002</v>
      </c>
      <c r="J259" s="549">
        <v>244</v>
      </c>
      <c r="K259" s="134">
        <f t="shared" si="33"/>
        <v>760.8653095343808</v>
      </c>
      <c r="L259" s="412">
        <v>593</v>
      </c>
      <c r="M259" s="412"/>
      <c r="N259" s="455"/>
      <c r="O259" s="455"/>
      <c r="P259" s="455"/>
      <c r="Q259" s="455"/>
      <c r="R259" s="455"/>
    </row>
    <row r="260" spans="1:18" ht="16.5" customHeight="1">
      <c r="A260" s="792">
        <f t="shared" si="30"/>
        <v>127</v>
      </c>
      <c r="B260" s="161" t="s">
        <v>931</v>
      </c>
      <c r="C260" s="472">
        <v>42732</v>
      </c>
      <c r="D260" s="473" t="s">
        <v>924</v>
      </c>
      <c r="E260" s="537">
        <v>38</v>
      </c>
      <c r="F260" s="538">
        <v>22</v>
      </c>
      <c r="G260" s="538"/>
      <c r="H260" s="574">
        <f t="shared" si="34"/>
        <v>0.08</v>
      </c>
      <c r="I260" s="134">
        <f t="shared" si="32"/>
        <v>19.52</v>
      </c>
      <c r="J260" s="549">
        <v>244</v>
      </c>
      <c r="K260" s="134">
        <f t="shared" si="33"/>
        <v>608.69224762750468</v>
      </c>
      <c r="L260" s="412">
        <v>502</v>
      </c>
      <c r="M260" s="412"/>
      <c r="N260" s="455"/>
      <c r="O260" s="455"/>
      <c r="P260" s="455"/>
      <c r="Q260" s="455"/>
      <c r="R260" s="455"/>
    </row>
    <row r="261" spans="1:18" ht="16.5" customHeight="1">
      <c r="A261" s="792">
        <f t="shared" si="30"/>
        <v>128</v>
      </c>
      <c r="B261" s="161" t="s">
        <v>935</v>
      </c>
      <c r="C261" s="472">
        <v>42733</v>
      </c>
      <c r="D261" s="473" t="s">
        <v>932</v>
      </c>
      <c r="E261" s="537">
        <v>17</v>
      </c>
      <c r="F261" s="538">
        <v>63</v>
      </c>
      <c r="G261" s="538"/>
      <c r="H261" s="574">
        <f t="shared" si="34"/>
        <v>0.11</v>
      </c>
      <c r="I261" s="134">
        <f t="shared" si="32"/>
        <v>71.5</v>
      </c>
      <c r="J261" s="549">
        <v>650</v>
      </c>
      <c r="K261" s="134">
        <f t="shared" si="33"/>
        <v>836.95184048781891</v>
      </c>
      <c r="L261" s="412">
        <v>4500</v>
      </c>
      <c r="M261" s="412"/>
      <c r="N261" s="455"/>
      <c r="O261" s="455"/>
      <c r="P261" s="455"/>
      <c r="Q261" s="455"/>
      <c r="R261" s="455"/>
    </row>
    <row r="262" spans="1:18" ht="16.5" customHeight="1">
      <c r="A262" s="792">
        <f t="shared" si="30"/>
        <v>129</v>
      </c>
      <c r="B262" s="161" t="s">
        <v>522</v>
      </c>
      <c r="C262" s="472">
        <v>42734</v>
      </c>
      <c r="D262" s="473" t="s">
        <v>934</v>
      </c>
      <c r="E262" s="537">
        <v>36.5</v>
      </c>
      <c r="F262" s="538">
        <v>26.5</v>
      </c>
      <c r="G262" s="538">
        <v>26</v>
      </c>
      <c r="H262" s="574">
        <f t="shared" si="34"/>
        <v>0.73</v>
      </c>
      <c r="I262" s="134">
        <f t="shared" ref="I262:I271" si="35">H262*J262</f>
        <v>383.25</v>
      </c>
      <c r="J262" s="549">
        <v>525</v>
      </c>
      <c r="K262" s="134">
        <f t="shared" si="33"/>
        <v>5554.3167596009798</v>
      </c>
      <c r="L262" s="412">
        <v>11000</v>
      </c>
      <c r="M262" s="412"/>
      <c r="N262" s="455"/>
      <c r="O262" s="455"/>
      <c r="P262" s="455"/>
      <c r="Q262" s="455"/>
      <c r="R262" s="455"/>
    </row>
    <row r="263" spans="1:18" ht="16.5" customHeight="1">
      <c r="A263" s="792">
        <f t="shared" si="30"/>
        <v>130</v>
      </c>
      <c r="B263" s="111" t="s">
        <v>1083</v>
      </c>
      <c r="C263" s="472">
        <v>42734</v>
      </c>
      <c r="D263" s="473" t="s">
        <v>1081</v>
      </c>
      <c r="E263" s="537">
        <v>58</v>
      </c>
      <c r="F263" s="538">
        <v>48</v>
      </c>
      <c r="G263" s="538"/>
      <c r="H263" s="57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49">
        <v>7250</v>
      </c>
      <c r="K263" s="134">
        <f t="shared" ref="K263:K269" si="38">H263*$R$170</f>
        <v>2130.4228666962663</v>
      </c>
      <c r="L263" s="412">
        <v>1392</v>
      </c>
      <c r="M263" s="412"/>
      <c r="N263" s="455"/>
      <c r="O263" s="455"/>
      <c r="P263" s="455"/>
      <c r="Q263" s="455"/>
      <c r="R263" s="455"/>
    </row>
    <row r="264" spans="1:18" ht="16.5" customHeight="1">
      <c r="A264" s="792">
        <f t="shared" si="30"/>
        <v>131</v>
      </c>
      <c r="B264" s="111" t="s">
        <v>1084</v>
      </c>
      <c r="C264" s="472">
        <v>42734</v>
      </c>
      <c r="D264" s="473" t="s">
        <v>1081</v>
      </c>
      <c r="E264" s="537">
        <v>58</v>
      </c>
      <c r="F264" s="538">
        <v>38</v>
      </c>
      <c r="G264" s="538"/>
      <c r="H264" s="574">
        <f t="shared" si="36"/>
        <v>0.22</v>
      </c>
      <c r="I264" s="134">
        <f t="shared" si="37"/>
        <v>2140.6</v>
      </c>
      <c r="J264" s="549">
        <v>9730</v>
      </c>
      <c r="K264" s="134">
        <f t="shared" si="38"/>
        <v>1673.9036809756378</v>
      </c>
      <c r="L264" s="412">
        <v>1102</v>
      </c>
      <c r="M264" s="412"/>
      <c r="N264" s="455"/>
      <c r="O264" s="455"/>
      <c r="P264" s="455"/>
      <c r="Q264" s="455"/>
      <c r="R264" s="455"/>
    </row>
    <row r="265" spans="1:18" ht="16.5" customHeight="1">
      <c r="A265" s="792">
        <f t="shared" si="30"/>
        <v>132</v>
      </c>
      <c r="B265" s="111" t="s">
        <v>1085</v>
      </c>
      <c r="C265" s="472">
        <v>42734</v>
      </c>
      <c r="D265" s="473" t="s">
        <v>1081</v>
      </c>
      <c r="E265" s="538">
        <v>25</v>
      </c>
      <c r="F265" s="538">
        <v>20</v>
      </c>
      <c r="G265" s="538"/>
      <c r="H265" s="574">
        <f t="shared" si="36"/>
        <v>0.05</v>
      </c>
      <c r="I265" s="134">
        <f t="shared" si="37"/>
        <v>18.75</v>
      </c>
      <c r="J265" s="549">
        <v>375</v>
      </c>
      <c r="K265" s="134">
        <f t="shared" si="38"/>
        <v>380.4326547671904</v>
      </c>
      <c r="L265" s="412">
        <v>5348</v>
      </c>
      <c r="M265" s="412"/>
      <c r="N265" s="455"/>
      <c r="O265" s="455"/>
      <c r="P265" s="455"/>
      <c r="Q265" s="455"/>
      <c r="R265" s="455"/>
    </row>
    <row r="266" spans="1:18" ht="16.5" customHeight="1">
      <c r="A266" s="792">
        <f t="shared" si="30"/>
        <v>133</v>
      </c>
      <c r="B266" s="111" t="s">
        <v>1086</v>
      </c>
      <c r="C266" s="472">
        <v>42734</v>
      </c>
      <c r="D266" s="473" t="s">
        <v>1081</v>
      </c>
      <c r="E266" s="537">
        <v>120</v>
      </c>
      <c r="F266" s="538">
        <v>240</v>
      </c>
      <c r="G266" s="538"/>
      <c r="H266" s="574">
        <f t="shared" si="36"/>
        <v>2.88</v>
      </c>
      <c r="I266" s="134">
        <f t="shared" si="37"/>
        <v>1440</v>
      </c>
      <c r="J266" s="549">
        <v>500</v>
      </c>
      <c r="K266" s="134">
        <f t="shared" si="38"/>
        <v>21912.920914590166</v>
      </c>
      <c r="L266" s="412">
        <v>14400</v>
      </c>
      <c r="M266" s="412"/>
      <c r="N266" s="455"/>
      <c r="O266" s="455"/>
      <c r="P266" s="455"/>
      <c r="Q266" s="455"/>
      <c r="R266" s="455"/>
    </row>
    <row r="267" spans="1:18" ht="16.5" customHeight="1">
      <c r="A267" s="792">
        <f t="shared" si="30"/>
        <v>134</v>
      </c>
      <c r="B267" s="111" t="s">
        <v>1087</v>
      </c>
      <c r="C267" s="472">
        <v>42734</v>
      </c>
      <c r="D267" s="473" t="s">
        <v>1081</v>
      </c>
      <c r="E267" s="537">
        <v>41</v>
      </c>
      <c r="F267" s="538">
        <v>40</v>
      </c>
      <c r="G267" s="538"/>
      <c r="H267" s="574">
        <f t="shared" si="36"/>
        <v>0.16</v>
      </c>
      <c r="I267" s="134">
        <f t="shared" si="37"/>
        <v>380</v>
      </c>
      <c r="J267" s="549">
        <v>2375</v>
      </c>
      <c r="K267" s="134">
        <f t="shared" si="38"/>
        <v>1217.3844952550094</v>
      </c>
      <c r="L267" s="412">
        <v>820</v>
      </c>
      <c r="M267" s="412"/>
      <c r="N267" s="455"/>
      <c r="O267" s="455"/>
      <c r="P267" s="455"/>
      <c r="Q267" s="455"/>
      <c r="R267" s="455"/>
    </row>
    <row r="268" spans="1:18" ht="16.5" customHeight="1">
      <c r="A268" s="792">
        <f t="shared" si="30"/>
        <v>135</v>
      </c>
      <c r="B268" s="111" t="s">
        <v>1088</v>
      </c>
      <c r="C268" s="472">
        <v>42734</v>
      </c>
      <c r="D268" s="473" t="s">
        <v>1081</v>
      </c>
      <c r="E268" s="537">
        <v>88</v>
      </c>
      <c r="F268" s="538">
        <v>41</v>
      </c>
      <c r="G268" s="538"/>
      <c r="H268" s="574">
        <f t="shared" si="36"/>
        <v>0.36</v>
      </c>
      <c r="I268" s="134">
        <f t="shared" si="37"/>
        <v>72</v>
      </c>
      <c r="J268" s="549">
        <v>200</v>
      </c>
      <c r="K268" s="134">
        <f t="shared" si="38"/>
        <v>2739.1151143237707</v>
      </c>
      <c r="L268" s="412">
        <v>1804</v>
      </c>
      <c r="M268" s="412"/>
      <c r="N268" s="455"/>
      <c r="O268" s="455"/>
      <c r="P268" s="455"/>
      <c r="Q268" s="455"/>
      <c r="R268" s="455"/>
    </row>
    <row r="269" spans="1:18" ht="16.5" customHeight="1">
      <c r="A269" s="792">
        <f t="shared" si="30"/>
        <v>136</v>
      </c>
      <c r="B269" s="111" t="s">
        <v>1089</v>
      </c>
      <c r="C269" s="472">
        <v>42734</v>
      </c>
      <c r="D269" s="473" t="s">
        <v>1081</v>
      </c>
      <c r="E269" s="537">
        <v>47</v>
      </c>
      <c r="F269" s="538">
        <v>30</v>
      </c>
      <c r="G269" s="538"/>
      <c r="H269" s="574">
        <f t="shared" si="36"/>
        <v>0.14000000000000001</v>
      </c>
      <c r="I269" s="134">
        <f t="shared" si="37"/>
        <v>280</v>
      </c>
      <c r="J269" s="549">
        <v>2000</v>
      </c>
      <c r="K269" s="134">
        <f t="shared" si="38"/>
        <v>1065.2114333481331</v>
      </c>
      <c r="L269" s="412">
        <v>705</v>
      </c>
      <c r="M269" s="412"/>
      <c r="N269" s="455"/>
      <c r="O269" s="455"/>
      <c r="P269" s="455"/>
      <c r="Q269" s="455"/>
      <c r="R269" s="455"/>
    </row>
    <row r="270" spans="1:18" ht="16.5" customHeight="1">
      <c r="A270" s="792">
        <f t="shared" si="30"/>
        <v>137</v>
      </c>
      <c r="B270" s="161" t="s">
        <v>500</v>
      </c>
      <c r="C270" s="472">
        <v>42735</v>
      </c>
      <c r="D270" s="473" t="s">
        <v>942</v>
      </c>
      <c r="E270" s="537">
        <v>45</v>
      </c>
      <c r="F270" s="538">
        <v>37</v>
      </c>
      <c r="G270" s="538">
        <v>27.5</v>
      </c>
      <c r="H270" s="574">
        <f t="shared" si="34"/>
        <v>1.1399999999999999</v>
      </c>
      <c r="I270" s="134">
        <f t="shared" si="35"/>
        <v>2061.12</v>
      </c>
      <c r="J270" s="549">
        <v>1808</v>
      </c>
      <c r="K270" s="134">
        <f t="shared" si="33"/>
        <v>8673.86452869194</v>
      </c>
      <c r="L270" s="412">
        <v>13800</v>
      </c>
      <c r="M270" s="412"/>
      <c r="N270" s="455"/>
      <c r="O270" s="455"/>
      <c r="P270" s="455"/>
      <c r="Q270" s="455"/>
      <c r="R270" s="455"/>
    </row>
    <row r="271" spans="1:18" ht="16.5" customHeight="1">
      <c r="A271" s="792">
        <f t="shared" si="30"/>
        <v>138</v>
      </c>
      <c r="B271" s="161" t="s">
        <v>375</v>
      </c>
      <c r="C271" s="472">
        <v>42735</v>
      </c>
      <c r="D271" s="473" t="s">
        <v>942</v>
      </c>
      <c r="E271" s="537">
        <v>44</v>
      </c>
      <c r="F271" s="538">
        <v>20</v>
      </c>
      <c r="G271" s="538"/>
      <c r="H271" s="574">
        <f t="shared" si="34"/>
        <v>0.09</v>
      </c>
      <c r="I271" s="134">
        <f t="shared" si="35"/>
        <v>325.44</v>
      </c>
      <c r="J271" s="549">
        <v>3616</v>
      </c>
      <c r="K271" s="134">
        <f t="shared" si="33"/>
        <v>684.77877858094269</v>
      </c>
      <c r="L271" s="412">
        <v>1300</v>
      </c>
      <c r="M271" s="412"/>
      <c r="N271" s="455"/>
      <c r="O271" s="455"/>
      <c r="P271" s="455"/>
      <c r="Q271" s="455"/>
      <c r="R271" s="583"/>
    </row>
    <row r="272" spans="1:18" ht="16.5" customHeight="1">
      <c r="A272" s="793" t="str">
        <f t="shared" ref="A272" si="39">IF(B272&lt;&gt;"",ROW()-133,"")</f>
        <v/>
      </c>
      <c r="B272" s="483"/>
      <c r="C272" s="472"/>
      <c r="D272" s="473"/>
      <c r="E272" s="539"/>
      <c r="F272" s="540"/>
      <c r="G272" s="541"/>
      <c r="H272" s="484"/>
      <c r="I272" s="485"/>
      <c r="J272" s="485"/>
      <c r="K272" s="484"/>
      <c r="L272" s="412"/>
      <c r="M272" s="412"/>
      <c r="N272" s="455"/>
      <c r="O272" s="455"/>
      <c r="P272" s="455"/>
      <c r="Q272" s="455"/>
      <c r="R272" s="455"/>
    </row>
    <row r="273" spans="1:18" ht="16.5" customHeight="1">
      <c r="A273" s="460"/>
      <c r="B273" s="460" t="s">
        <v>235</v>
      </c>
      <c r="C273" s="478"/>
      <c r="D273" s="479"/>
      <c r="E273" s="527"/>
      <c r="F273" s="527"/>
      <c r="G273" s="527"/>
      <c r="H273" s="530">
        <f>ROUND(SUM(H134:H272),2)</f>
        <v>204.74</v>
      </c>
      <c r="I273" s="346">
        <f>ROUND(SUM(I134:I272),2)</f>
        <v>122547.13</v>
      </c>
      <c r="J273" s="346">
        <f>ROUND(SUM(J134:J272),2)</f>
        <v>153709</v>
      </c>
      <c r="K273" s="346"/>
      <c r="L273" s="467"/>
      <c r="M273" s="412"/>
      <c r="N273" s="455"/>
      <c r="O273" s="455"/>
      <c r="P273" s="455"/>
      <c r="Q273" s="455"/>
      <c r="R273" s="58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3" customWidth="1"/>
    <col min="2" max="2" width="15.7109375" style="393" customWidth="1"/>
    <col min="3" max="3" width="16.85546875" style="393" customWidth="1"/>
    <col min="4" max="9" width="15.28515625" style="393" customWidth="1"/>
    <col min="10" max="10" width="10.140625" style="393" customWidth="1"/>
    <col min="11" max="11" width="5.85546875" style="393" customWidth="1"/>
    <col min="12" max="16384" width="10.28515625" style="393"/>
  </cols>
  <sheetData>
    <row r="1" spans="1:11" s="279" customFormat="1" ht="19.5" customHeight="1">
      <c r="A1" s="380" t="str">
        <f>TH!A1</f>
        <v>Đơn vị: CÔNG TY TNHH BAO BÌ GIẤY KIM DUNG PHÁT</v>
      </c>
      <c r="B1" s="380"/>
      <c r="D1" s="280"/>
      <c r="E1" s="280"/>
      <c r="F1" s="280"/>
      <c r="G1" s="948" t="s">
        <v>236</v>
      </c>
      <c r="H1" s="948"/>
      <c r="I1" s="948"/>
      <c r="J1" s="281"/>
      <c r="K1" s="282"/>
    </row>
    <row r="2" spans="1:11" s="279" customFormat="1" ht="19.5" customHeight="1">
      <c r="A2" s="407" t="str">
        <f>TH!A2</f>
        <v>Địa chỉ: Ấp Rừng Sến, xã Mỹ Hạnh Bắc, Huyện Đức Hòa, Tỉnh Long An, Việt Nam</v>
      </c>
      <c r="B2" s="380"/>
      <c r="D2" s="283"/>
      <c r="E2" s="283"/>
      <c r="F2" s="283"/>
      <c r="G2" s="949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9"/>
      <c r="I2" s="949"/>
      <c r="J2" s="281"/>
      <c r="K2" s="273">
        <v>1</v>
      </c>
    </row>
    <row r="3" spans="1:11" s="279" customFormat="1" ht="15">
      <c r="A3" s="381"/>
      <c r="B3" s="382"/>
      <c r="C3" s="283"/>
      <c r="D3" s="283"/>
      <c r="E3" s="283"/>
      <c r="F3" s="283"/>
      <c r="G3" s="949"/>
      <c r="H3" s="949"/>
      <c r="I3" s="949"/>
      <c r="J3" s="281"/>
    </row>
    <row r="4" spans="1:11" s="384" customFormat="1" ht="17.25" customHeight="1">
      <c r="A4" s="950" t="s">
        <v>237</v>
      </c>
      <c r="B4" s="950"/>
      <c r="C4" s="950"/>
      <c r="D4" s="950"/>
      <c r="E4" s="950"/>
      <c r="F4" s="950"/>
      <c r="G4" s="950"/>
      <c r="H4" s="950"/>
      <c r="I4" s="950"/>
      <c r="J4" s="383"/>
    </row>
    <row r="5" spans="1:11" s="385" customFormat="1" ht="17.25" customHeight="1">
      <c r="B5" s="386"/>
      <c r="C5" s="387" t="s">
        <v>327</v>
      </c>
      <c r="D5" s="386" t="str">
        <f>IF($K$2&lt;10,"0"&amp;$K$2&amp;"  năm 2011",$K$2&amp;"  năm 2011")</f>
        <v>01  năm 2011</v>
      </c>
      <c r="E5" s="386"/>
      <c r="F5" s="386"/>
      <c r="G5" s="386"/>
      <c r="H5" s="386"/>
      <c r="I5" s="386"/>
      <c r="J5" s="386"/>
    </row>
    <row r="6" spans="1:11" s="385" customFormat="1" ht="17.25" customHeight="1">
      <c r="B6" s="388"/>
      <c r="C6" s="951" t="s">
        <v>238</v>
      </c>
      <c r="D6" s="951"/>
      <c r="E6" s="952"/>
      <c r="F6" s="952"/>
      <c r="G6" s="952"/>
      <c r="H6" s="446"/>
      <c r="I6" s="388"/>
      <c r="J6" s="386"/>
    </row>
    <row r="7" spans="1:11" s="390" customFormat="1" ht="9.75" customHeight="1">
      <c r="A7" s="389"/>
      <c r="B7" s="389"/>
      <c r="C7" s="389"/>
      <c r="D7" s="389"/>
      <c r="E7" s="389"/>
      <c r="F7" s="389"/>
      <c r="G7" s="389"/>
      <c r="H7" s="389"/>
      <c r="I7" s="389"/>
      <c r="J7" s="388"/>
    </row>
    <row r="8" spans="1:11" s="285" customFormat="1" ht="17.25" customHeight="1">
      <c r="A8" s="953" t="s">
        <v>239</v>
      </c>
      <c r="B8" s="954" t="s">
        <v>240</v>
      </c>
      <c r="C8" s="954" t="s">
        <v>241</v>
      </c>
      <c r="D8" s="954"/>
      <c r="E8" s="954"/>
      <c r="F8" s="954"/>
      <c r="G8" s="954"/>
      <c r="H8" s="954"/>
      <c r="I8" s="954"/>
      <c r="J8" s="284"/>
    </row>
    <row r="9" spans="1:11" s="288" customFormat="1" ht="35.25" customHeight="1">
      <c r="A9" s="953"/>
      <c r="B9" s="954"/>
      <c r="C9" s="286" t="s">
        <v>351</v>
      </c>
      <c r="D9" s="286" t="s">
        <v>242</v>
      </c>
      <c r="E9" s="286" t="s">
        <v>352</v>
      </c>
      <c r="F9" s="286" t="s">
        <v>353</v>
      </c>
      <c r="G9" s="286" t="s">
        <v>243</v>
      </c>
      <c r="H9" s="286" t="s">
        <v>244</v>
      </c>
      <c r="I9" s="286" t="s">
        <v>354</v>
      </c>
      <c r="J9" s="287"/>
    </row>
    <row r="10" spans="1:11" s="291" customFormat="1" ht="15">
      <c r="A10" s="289" t="s">
        <v>2</v>
      </c>
      <c r="B10" s="290">
        <v>1</v>
      </c>
      <c r="C10" s="290">
        <v>2</v>
      </c>
      <c r="D10" s="290">
        <v>3</v>
      </c>
      <c r="E10" s="290">
        <v>4</v>
      </c>
      <c r="F10" s="290">
        <v>5</v>
      </c>
      <c r="G10" s="290">
        <v>6</v>
      </c>
      <c r="H10" s="290">
        <v>7</v>
      </c>
      <c r="I10" s="290">
        <v>8</v>
      </c>
      <c r="J10" s="281"/>
    </row>
    <row r="11" spans="1:11" s="385" customFormat="1" ht="24.75" customHeight="1">
      <c r="A11" s="391" t="s">
        <v>245</v>
      </c>
      <c r="B11" s="392">
        <f>ROUND(SUM(C11:I11),0)</f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J11" s="386"/>
    </row>
    <row r="12" spans="1:11" s="385" customFormat="1" ht="24.75" customHeight="1">
      <c r="A12" s="391" t="s">
        <v>246</v>
      </c>
      <c r="B12" s="392">
        <f ca="1">ROUND(SUM(C12:I12),0)</f>
        <v>0</v>
      </c>
      <c r="C12" s="392">
        <f ca="1">IF(ISNA(VLOOKUP($E6,INDIRECT("DSSP"&amp;$K$2),5,0)),0,VLOOKUP($E6,INDIRECT("DSSP"&amp;$K$2),5,0))</f>
        <v>0</v>
      </c>
      <c r="D12" s="392">
        <f ca="1">IF(ISNA(VLOOKUP($E6,INDIRECT("DSSP"&amp;$K$2),6,0)),0,VLOOKUP($E6,INDIRECT("DSSP"&amp;$K$2),6,0))</f>
        <v>0</v>
      </c>
      <c r="E12" s="392">
        <f ca="1">IF(ISNA(VLOOKUP($E6,INDIRECT("DSSP"&amp;$K$2),7,0)),0,VLOOKUP($E6,INDIRECT("DSSP"&amp;$K$2),7,0))</f>
        <v>0</v>
      </c>
      <c r="F12" s="392">
        <f ca="1">IF(ISNA(VLOOKUP($E6,INDIRECT("DSSP"&amp;$K$2),8,0)),0,VLOOKUP($E6,INDIRECT("DSSP"&amp;$K$2),8,0))</f>
        <v>0</v>
      </c>
      <c r="G12" s="392">
        <f ca="1">IF(ISNA(VLOOKUP($E6,INDIRECT("DSSP"&amp;$K$2),9,0)),0,VLOOKUP($E6,INDIRECT("DSSP"&amp;$K$2),9,0))</f>
        <v>0</v>
      </c>
      <c r="H12" s="392">
        <f ca="1">IF(ISNA(VLOOKUP($E6,INDIRECT("DSSP"&amp;$K$2),10,0)),0,VLOOKUP($E6,INDIRECT("DSSP"&amp;$K$2),10,0))</f>
        <v>0</v>
      </c>
      <c r="I12" s="392">
        <f ca="1">IF(ISNA(VLOOKUP($E6,INDIRECT("DSSP"&amp;$K$2),11,0)),0,VLOOKUP($E6,INDIRECT("DSSP"&amp;$K$2),11,0))</f>
        <v>0</v>
      </c>
      <c r="J12" s="386"/>
    </row>
    <row r="13" spans="1:11" s="385" customFormat="1" ht="24.75" customHeight="1">
      <c r="A13" s="391" t="s">
        <v>247</v>
      </c>
      <c r="B13" s="392">
        <f ca="1">ROUND(IF(ISNA(VLOOKUP($E6,INDIRECT("DSSP"&amp;$K$2),13,0)),0,VLOOKUP($E6,INDIRECT("DSSP"&amp;$K$2),13,0)),0)</f>
        <v>0</v>
      </c>
      <c r="C13" s="392">
        <f t="shared" ref="C13:I13" ca="1" si="0">C12</f>
        <v>0</v>
      </c>
      <c r="D13" s="392">
        <f t="shared" ca="1" si="0"/>
        <v>0</v>
      </c>
      <c r="E13" s="392">
        <f t="shared" ca="1" si="0"/>
        <v>0</v>
      </c>
      <c r="F13" s="392"/>
      <c r="G13" s="392">
        <f t="shared" ca="1" si="0"/>
        <v>0</v>
      </c>
      <c r="H13" s="392"/>
      <c r="I13" s="392">
        <f t="shared" ca="1" si="0"/>
        <v>0</v>
      </c>
      <c r="J13" s="386"/>
    </row>
    <row r="14" spans="1:11" s="385" customFormat="1" ht="24.75" customHeight="1">
      <c r="A14" s="391" t="s">
        <v>248</v>
      </c>
      <c r="B14" s="392">
        <f ca="1">B12-B13</f>
        <v>0</v>
      </c>
      <c r="C14" s="392">
        <f t="shared" ref="C14:I14" ca="1" si="1">C12-C13</f>
        <v>0</v>
      </c>
      <c r="D14" s="392">
        <f t="shared" ca="1" si="1"/>
        <v>0</v>
      </c>
      <c r="E14" s="392">
        <f t="shared" ca="1" si="1"/>
        <v>0</v>
      </c>
      <c r="F14" s="392"/>
      <c r="G14" s="392">
        <f t="shared" ca="1" si="1"/>
        <v>0</v>
      </c>
      <c r="H14" s="392"/>
      <c r="I14" s="392">
        <f t="shared" ca="1" si="1"/>
        <v>0</v>
      </c>
      <c r="J14" s="386"/>
    </row>
    <row r="15" spans="1:11" s="385" customFormat="1" ht="15">
      <c r="B15" s="386"/>
      <c r="C15" s="386"/>
      <c r="D15" s="386"/>
      <c r="E15" s="386"/>
      <c r="F15" s="386"/>
      <c r="G15" s="386"/>
      <c r="H15" s="386"/>
      <c r="I15" s="386"/>
      <c r="J15" s="386"/>
    </row>
    <row r="16" spans="1:11" s="385" customFormat="1" ht="15">
      <c r="B16" s="386"/>
      <c r="C16" s="386"/>
      <c r="D16" s="386"/>
      <c r="E16" s="94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7"/>
      <c r="G16" s="947"/>
      <c r="H16" s="947"/>
      <c r="I16" s="947"/>
      <c r="J16" s="386"/>
    </row>
    <row r="17" spans="2:10" s="385" customFormat="1" ht="15">
      <c r="B17" s="291" t="s">
        <v>249</v>
      </c>
      <c r="C17" s="386"/>
      <c r="D17" s="386"/>
      <c r="E17" s="947" t="s">
        <v>12</v>
      </c>
      <c r="F17" s="947"/>
      <c r="G17" s="947"/>
      <c r="H17" s="947"/>
      <c r="I17" s="947"/>
      <c r="J17" s="386"/>
    </row>
    <row r="19" spans="2:10" ht="15">
      <c r="E19" s="394"/>
      <c r="F19" s="394"/>
    </row>
    <row r="26" spans="2:10">
      <c r="B26" s="369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07" customWidth="1"/>
    <col min="2" max="2" width="9.140625" style="307" customWidth="1"/>
    <col min="3" max="3" width="9" style="308" customWidth="1"/>
    <col min="4" max="4" width="28.140625" style="307" customWidth="1"/>
    <col min="5" max="5" width="9.140625" style="307" customWidth="1"/>
    <col min="6" max="6" width="9.28515625" style="308" customWidth="1"/>
    <col min="7" max="7" width="9" style="307" customWidth="1"/>
    <col min="8" max="8" width="14.5703125" style="307" customWidth="1"/>
    <col min="9" max="9" width="6" style="307" customWidth="1"/>
    <col min="10" max="10" width="14.140625" style="307" customWidth="1"/>
    <col min="11" max="11" width="14.85546875" style="309" customWidth="1"/>
    <col min="12" max="12" width="14.42578125" style="307" customWidth="1"/>
    <col min="13" max="13" width="5.85546875" style="307" customWidth="1"/>
    <col min="14" max="14" width="7.42578125" style="307" customWidth="1"/>
    <col min="15" max="15" width="11.7109375" style="307" customWidth="1"/>
    <col min="16" max="16" width="4.5703125" style="370" customWidth="1"/>
    <col min="17" max="17" width="11.140625" style="307" bestFit="1" customWidth="1"/>
    <col min="18" max="18" width="12" style="307" bestFit="1" customWidth="1"/>
    <col min="19" max="16384" width="9.140625" style="307"/>
  </cols>
  <sheetData>
    <row r="1" spans="1:18" ht="15" customHeight="1">
      <c r="A1" s="408" t="str">
        <f>TH!A1</f>
        <v>Đơn vị: CÔNG TY TNHH BAO BÌ GIẤY KIM DUNG PHÁT</v>
      </c>
      <c r="L1" s="965" t="s">
        <v>270</v>
      </c>
      <c r="M1" s="965"/>
      <c r="N1" s="965"/>
      <c r="O1" s="965"/>
    </row>
    <row r="2" spans="1:18" ht="15" customHeight="1">
      <c r="A2" s="306" t="str">
        <f>TH!A2</f>
        <v>Địa chỉ: Ấp Rừng Sến, xã Mỹ Hạnh Bắc, Huyện Đức Hòa, Tỉnh Long An, Việt Nam</v>
      </c>
      <c r="L2" s="964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64"/>
      <c r="N2" s="964"/>
      <c r="O2" s="964"/>
    </row>
    <row r="3" spans="1:18" ht="15" customHeight="1">
      <c r="L3" s="964"/>
      <c r="M3" s="964"/>
      <c r="N3" s="964"/>
      <c r="O3" s="964"/>
    </row>
    <row r="5" spans="1:18" s="312" customFormat="1" ht="24" customHeight="1">
      <c r="A5" s="966" t="s">
        <v>271</v>
      </c>
      <c r="B5" s="966"/>
      <c r="C5" s="966"/>
      <c r="D5" s="966"/>
      <c r="E5" s="966"/>
      <c r="F5" s="966"/>
      <c r="G5" s="966"/>
      <c r="H5" s="966"/>
      <c r="I5" s="966"/>
      <c r="J5" s="966"/>
      <c r="K5" s="966"/>
      <c r="L5" s="966"/>
      <c r="M5" s="966"/>
      <c r="N5" s="966"/>
      <c r="O5" s="966"/>
      <c r="P5" s="371"/>
    </row>
    <row r="6" spans="1:18" s="312" customFormat="1" ht="21" customHeight="1">
      <c r="A6" s="967" t="s">
        <v>355</v>
      </c>
      <c r="B6" s="967"/>
      <c r="C6" s="967"/>
      <c r="D6" s="967"/>
      <c r="E6" s="967"/>
      <c r="F6" s="967"/>
      <c r="G6" s="967"/>
      <c r="H6" s="967"/>
      <c r="I6" s="967"/>
      <c r="J6" s="967"/>
      <c r="K6" s="967"/>
      <c r="L6" s="967"/>
      <c r="M6" s="967"/>
      <c r="N6" s="967"/>
      <c r="O6" s="967"/>
      <c r="P6" s="371"/>
    </row>
    <row r="7" spans="1:18" s="312" customFormat="1" ht="21" customHeight="1">
      <c r="A7" s="968" t="s">
        <v>313</v>
      </c>
      <c r="B7" s="968"/>
      <c r="C7" s="968"/>
      <c r="D7" s="968"/>
      <c r="E7" s="968"/>
      <c r="F7" s="968"/>
      <c r="G7" s="968"/>
      <c r="H7" s="968"/>
      <c r="I7" s="968"/>
      <c r="J7" s="968"/>
      <c r="K7" s="968"/>
      <c r="L7" s="968"/>
      <c r="M7" s="968"/>
      <c r="N7" s="968"/>
      <c r="O7" s="968"/>
      <c r="P7" s="371"/>
    </row>
    <row r="8" spans="1:18">
      <c r="D8" s="308"/>
    </row>
    <row r="9" spans="1:18" s="313" customFormat="1" ht="24" customHeight="1">
      <c r="A9" s="955" t="s">
        <v>224</v>
      </c>
      <c r="B9" s="958" t="s">
        <v>272</v>
      </c>
      <c r="C9" s="959"/>
      <c r="D9" s="959"/>
      <c r="E9" s="959"/>
      <c r="F9" s="959"/>
      <c r="G9" s="959"/>
      <c r="H9" s="960"/>
      <c r="I9" s="958" t="s">
        <v>273</v>
      </c>
      <c r="J9" s="959"/>
      <c r="K9" s="959"/>
      <c r="L9" s="960"/>
      <c r="M9" s="961" t="s">
        <v>274</v>
      </c>
      <c r="N9" s="961"/>
      <c r="O9" s="961"/>
      <c r="P9" s="372"/>
    </row>
    <row r="10" spans="1:18" s="313" customFormat="1" ht="24" customHeight="1">
      <c r="A10" s="956"/>
      <c r="B10" s="958" t="s">
        <v>275</v>
      </c>
      <c r="C10" s="960"/>
      <c r="D10" s="955" t="s">
        <v>276</v>
      </c>
      <c r="E10" s="955" t="s">
        <v>277</v>
      </c>
      <c r="F10" s="955" t="s">
        <v>278</v>
      </c>
      <c r="G10" s="955" t="s">
        <v>279</v>
      </c>
      <c r="H10" s="955" t="s">
        <v>280</v>
      </c>
      <c r="I10" s="958" t="s">
        <v>281</v>
      </c>
      <c r="J10" s="960"/>
      <c r="K10" s="962" t="s">
        <v>282</v>
      </c>
      <c r="L10" s="955" t="s">
        <v>283</v>
      </c>
      <c r="M10" s="961" t="s">
        <v>275</v>
      </c>
      <c r="N10" s="961"/>
      <c r="O10" s="961" t="s">
        <v>284</v>
      </c>
      <c r="P10" s="372"/>
    </row>
    <row r="11" spans="1:18" s="313" customFormat="1" ht="55.5" customHeight="1">
      <c r="A11" s="957"/>
      <c r="B11" s="314" t="s">
        <v>285</v>
      </c>
      <c r="C11" s="314" t="s">
        <v>225</v>
      </c>
      <c r="D11" s="957"/>
      <c r="E11" s="957"/>
      <c r="F11" s="957"/>
      <c r="G11" s="957"/>
      <c r="H11" s="957"/>
      <c r="I11" s="314" t="s">
        <v>286</v>
      </c>
      <c r="J11" s="314" t="s">
        <v>287</v>
      </c>
      <c r="K11" s="963"/>
      <c r="L11" s="957"/>
      <c r="M11" s="314" t="s">
        <v>15</v>
      </c>
      <c r="N11" s="314" t="s">
        <v>225</v>
      </c>
      <c r="O11" s="961"/>
      <c r="P11" s="372"/>
    </row>
    <row r="12" spans="1:18" s="317" customFormat="1" ht="13.5">
      <c r="A12" s="315" t="s">
        <v>2</v>
      </c>
      <c r="B12" s="315" t="s">
        <v>3</v>
      </c>
      <c r="C12" s="315" t="s">
        <v>4</v>
      </c>
      <c r="D12" s="315" t="s">
        <v>5</v>
      </c>
      <c r="E12" s="315" t="s">
        <v>6</v>
      </c>
      <c r="F12" s="315" t="s">
        <v>126</v>
      </c>
      <c r="G12" s="315" t="s">
        <v>288</v>
      </c>
      <c r="H12" s="315">
        <v>1</v>
      </c>
      <c r="I12" s="315">
        <v>2</v>
      </c>
      <c r="J12" s="315">
        <v>3</v>
      </c>
      <c r="K12" s="316"/>
      <c r="L12" s="315">
        <v>4</v>
      </c>
      <c r="M12" s="315" t="s">
        <v>289</v>
      </c>
      <c r="N12" s="315" t="s">
        <v>290</v>
      </c>
      <c r="O12" s="315" t="s">
        <v>291</v>
      </c>
      <c r="P12" s="373"/>
    </row>
    <row r="13" spans="1:18" s="317" customFormat="1" ht="21.75" customHeight="1">
      <c r="A13" s="337" t="s">
        <v>289</v>
      </c>
      <c r="B13" s="339" t="s">
        <v>312</v>
      </c>
      <c r="C13" s="337"/>
      <c r="D13" s="337"/>
      <c r="E13" s="337"/>
      <c r="F13" s="337"/>
      <c r="G13" s="374"/>
      <c r="H13" s="344"/>
      <c r="I13" s="344"/>
      <c r="J13" s="344"/>
      <c r="K13" s="344"/>
      <c r="L13" s="5"/>
      <c r="M13" s="337"/>
      <c r="N13" s="337"/>
      <c r="O13" s="104"/>
      <c r="P13" s="373" t="str">
        <f>IF(D13='THE-TS'!$D$11,"x","")</f>
        <v/>
      </c>
    </row>
    <row r="14" spans="1:18" ht="21.75" customHeight="1">
      <c r="A14" s="338">
        <v>1</v>
      </c>
      <c r="B14" s="347" t="s">
        <v>323</v>
      </c>
      <c r="C14" s="318">
        <v>42563</v>
      </c>
      <c r="D14" s="125" t="s">
        <v>345</v>
      </c>
      <c r="E14" s="277" t="s">
        <v>292</v>
      </c>
      <c r="F14" s="347" t="s">
        <v>633</v>
      </c>
      <c r="G14" s="374" t="s">
        <v>629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34"/>
      <c r="N14" s="277"/>
      <c r="O14" s="104"/>
      <c r="P14" s="373" t="str">
        <f>IF(D14='THE-TS'!$D$11,"x","")</f>
        <v>x</v>
      </c>
      <c r="Q14" s="159"/>
      <c r="R14" s="159"/>
    </row>
    <row r="15" spans="1:18" ht="21.75" customHeight="1">
      <c r="A15" s="338">
        <v>2</v>
      </c>
      <c r="B15" s="347" t="s">
        <v>323</v>
      </c>
      <c r="C15" s="318">
        <v>42563</v>
      </c>
      <c r="D15" s="125" t="s">
        <v>346</v>
      </c>
      <c r="E15" s="277" t="s">
        <v>292</v>
      </c>
      <c r="F15" s="347" t="s">
        <v>633</v>
      </c>
      <c r="G15" s="374" t="s">
        <v>630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34"/>
      <c r="N15" s="277"/>
      <c r="O15" s="104"/>
      <c r="P15" s="373" t="str">
        <f>IF(D15='THE-TS'!$D$11,"x","")</f>
        <v/>
      </c>
      <c r="Q15" s="159"/>
      <c r="R15" s="159"/>
    </row>
    <row r="16" spans="1:18" ht="21.75" customHeight="1">
      <c r="A16" s="338">
        <v>3</v>
      </c>
      <c r="B16" s="347" t="s">
        <v>323</v>
      </c>
      <c r="C16" s="318">
        <v>42563</v>
      </c>
      <c r="D16" s="125" t="s">
        <v>347</v>
      </c>
      <c r="E16" s="277" t="s">
        <v>292</v>
      </c>
      <c r="F16" s="347" t="s">
        <v>633</v>
      </c>
      <c r="G16" s="374" t="s">
        <v>631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34"/>
      <c r="N16" s="104"/>
      <c r="O16" s="104"/>
      <c r="P16" s="373" t="str">
        <f>IF(D16='THE-TS'!$D$11,"x","")</f>
        <v/>
      </c>
      <c r="Q16" s="159"/>
      <c r="R16" s="159"/>
    </row>
    <row r="17" spans="1:18" ht="21.75" customHeight="1">
      <c r="A17" s="338">
        <v>4</v>
      </c>
      <c r="B17" s="347" t="s">
        <v>323</v>
      </c>
      <c r="C17" s="318">
        <v>42563</v>
      </c>
      <c r="D17" s="342" t="s">
        <v>627</v>
      </c>
      <c r="E17" s="277" t="s">
        <v>292</v>
      </c>
      <c r="F17" s="347" t="s">
        <v>633</v>
      </c>
      <c r="G17" s="374" t="s">
        <v>632</v>
      </c>
      <c r="H17" s="345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66"/>
      <c r="N17" s="567"/>
      <c r="O17" s="567"/>
      <c r="P17" s="373"/>
      <c r="Q17" s="159"/>
      <c r="R17" s="159"/>
    </row>
    <row r="18" spans="1:18" ht="21.75" customHeight="1">
      <c r="A18" s="319"/>
      <c r="B18" s="340"/>
      <c r="C18" s="341"/>
      <c r="D18" s="342"/>
      <c r="E18" s="320"/>
      <c r="F18" s="341"/>
      <c r="G18" s="340"/>
      <c r="H18" s="345"/>
      <c r="I18" s="345"/>
      <c r="J18" s="162"/>
      <c r="K18" s="162"/>
      <c r="L18" s="162"/>
      <c r="M18" s="320"/>
      <c r="N18" s="320"/>
      <c r="O18" s="320"/>
      <c r="P18" s="373" t="str">
        <f>IF(D18='THE-TS'!$D$11,"x","")</f>
        <v/>
      </c>
      <c r="Q18" s="159"/>
      <c r="R18" s="335"/>
    </row>
    <row r="19" spans="1:18" s="323" customFormat="1" ht="21.75" customHeight="1">
      <c r="A19" s="321"/>
      <c r="B19" s="322"/>
      <c r="C19" s="321"/>
      <c r="D19" s="321" t="s">
        <v>293</v>
      </c>
      <c r="E19" s="321" t="s">
        <v>19</v>
      </c>
      <c r="F19" s="321" t="s">
        <v>19</v>
      </c>
      <c r="G19" s="321" t="s">
        <v>19</v>
      </c>
      <c r="H19" s="346">
        <f>SUM(H14:H18)</f>
        <v>840000000</v>
      </c>
      <c r="I19" s="346"/>
      <c r="J19" s="346">
        <f>SUM(J14:J18)</f>
        <v>26500000</v>
      </c>
      <c r="K19" s="346">
        <f t="shared" ref="K19:L19" si="1">SUM(K14:K18)</f>
        <v>0</v>
      </c>
      <c r="L19" s="346">
        <f t="shared" si="1"/>
        <v>26500000</v>
      </c>
      <c r="M19" s="378" t="s">
        <v>19</v>
      </c>
      <c r="N19" s="378" t="s">
        <v>19</v>
      </c>
      <c r="O19" s="378" t="s">
        <v>19</v>
      </c>
      <c r="P19" s="373" t="str">
        <f>IF(D19='THE-TS'!$D$11,"x","")</f>
        <v/>
      </c>
      <c r="Q19" s="159"/>
    </row>
    <row r="20" spans="1:18" ht="6.75" customHeight="1">
      <c r="A20" s="278"/>
      <c r="B20" s="278"/>
      <c r="C20" s="324"/>
      <c r="D20" s="278"/>
      <c r="E20" s="324"/>
      <c r="F20" s="324"/>
      <c r="G20" s="324"/>
      <c r="H20" s="278"/>
      <c r="I20" s="278"/>
      <c r="J20" s="278"/>
      <c r="K20" s="325"/>
      <c r="L20" s="278"/>
      <c r="M20" s="278"/>
      <c r="N20" s="278"/>
      <c r="O20" s="278"/>
      <c r="P20" s="373" t="str">
        <f>IF(D20='THE-TS'!$D$11,"x","")</f>
        <v/>
      </c>
    </row>
    <row r="21" spans="1:18" ht="13.5" customHeight="1">
      <c r="A21" s="278"/>
      <c r="B21" s="278"/>
      <c r="C21" s="324"/>
      <c r="D21" s="278" t="s">
        <v>294</v>
      </c>
      <c r="E21" s="278"/>
      <c r="F21" s="324"/>
      <c r="G21" s="278"/>
      <c r="H21" s="309"/>
      <c r="I21" s="309"/>
      <c r="J21" s="379"/>
      <c r="L21" s="309"/>
      <c r="M21" s="278"/>
      <c r="N21" s="278"/>
      <c r="O21" s="278"/>
      <c r="P21" s="373" t="str">
        <f>IF(D21='THE-TS'!$D$11,"x","")</f>
        <v/>
      </c>
    </row>
    <row r="22" spans="1:18" ht="13.5" customHeight="1">
      <c r="A22" s="278"/>
      <c r="B22" s="278"/>
      <c r="C22" s="324"/>
      <c r="D22" s="278" t="s">
        <v>635</v>
      </c>
      <c r="E22" s="278"/>
      <c r="F22" s="324"/>
      <c r="G22" s="278"/>
      <c r="H22" s="335"/>
      <c r="I22" s="278"/>
      <c r="J22" s="343"/>
      <c r="K22" s="325"/>
      <c r="L22" s="278"/>
      <c r="M22" s="278"/>
      <c r="N22" s="278"/>
      <c r="O22" s="278"/>
      <c r="P22" s="373" t="str">
        <f>IF(D22='THE-TS'!$D$11,"x","")</f>
        <v/>
      </c>
    </row>
    <row r="23" spans="1:18" ht="13.5" customHeight="1">
      <c r="K23" s="326"/>
      <c r="L23" s="311" t="s">
        <v>634</v>
      </c>
      <c r="P23" s="373" t="str">
        <f>IF(D23='THE-TS'!$D$11,"x","")</f>
        <v/>
      </c>
    </row>
    <row r="24" spans="1:18" ht="13.5" customHeight="1">
      <c r="B24" s="308"/>
      <c r="D24" s="308" t="s">
        <v>11</v>
      </c>
      <c r="F24" s="308" t="s">
        <v>295</v>
      </c>
      <c r="I24" s="327"/>
      <c r="K24" s="324"/>
      <c r="L24" s="324" t="s">
        <v>104</v>
      </c>
      <c r="P24" s="373" t="str">
        <f>IF(D24='THE-TS'!$D$11,"x","")</f>
        <v/>
      </c>
    </row>
    <row r="25" spans="1:18" ht="13.5" customHeight="1">
      <c r="B25" s="308"/>
      <c r="D25" s="308"/>
      <c r="P25" s="373" t="str">
        <f>IF(D25='THE-TS'!$D$11,"x","")</f>
        <v/>
      </c>
    </row>
    <row r="26" spans="1:18" ht="13.5" customHeight="1">
      <c r="H26" s="328"/>
      <c r="J26" s="328"/>
      <c r="L26" s="328"/>
      <c r="P26" s="373" t="str">
        <f>IF(D26='THE-TS'!$D$11,"x","")</f>
        <v/>
      </c>
    </row>
    <row r="27" spans="1:18" ht="13.5" customHeight="1">
      <c r="H27" s="329"/>
      <c r="P27" s="373" t="str">
        <f>IF(D27='THE-TS'!$D$11,"x","")</f>
        <v/>
      </c>
    </row>
    <row r="28" spans="1:18" ht="13.5" customHeight="1">
      <c r="H28" s="329"/>
      <c r="J28" s="328"/>
      <c r="P28" s="373" t="str">
        <f>IF(D28='THE-TS'!$D$11,"x","")</f>
        <v/>
      </c>
    </row>
    <row r="29" spans="1:18" ht="13.5" customHeight="1">
      <c r="H29" s="329"/>
      <c r="P29" s="373" t="str">
        <f>IF(D29='THE-TS'!$D$11,"x","")</f>
        <v/>
      </c>
    </row>
    <row r="30" spans="1:18" ht="13.5" customHeight="1">
      <c r="H30" s="329"/>
      <c r="P30" s="373" t="str">
        <f>IF(D30='THE-TS'!$D$11,"x","")</f>
        <v/>
      </c>
    </row>
    <row r="31" spans="1:18" s="330" customFormat="1" ht="13.5" customHeight="1">
      <c r="C31" s="331"/>
      <c r="D31" s="331"/>
      <c r="F31" s="331"/>
      <c r="H31" s="332"/>
      <c r="K31" s="333"/>
      <c r="P31" s="373"/>
    </row>
    <row r="32" spans="1:18" ht="13.5">
      <c r="P32" s="373" t="str">
        <f>IF(D32='THE-TS'!$D$11,"x","")</f>
        <v/>
      </c>
    </row>
    <row r="33" spans="8:16" ht="13.5" customHeight="1">
      <c r="H33" s="329"/>
      <c r="P33" s="373" t="str">
        <f>IF(D33='THE-TS'!$D$11,"x","")</f>
        <v/>
      </c>
    </row>
    <row r="34" spans="8:16" ht="13.5">
      <c r="P34" s="373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409" t="str">
        <f>TH!A1</f>
        <v>Đơn vị: CÔNG TY TNHH BAO BÌ GIẤY KIM DUNG PHÁT</v>
      </c>
      <c r="B2" s="348"/>
      <c r="C2" s="348"/>
      <c r="D2" s="348"/>
      <c r="E2" s="310"/>
      <c r="F2" s="965" t="s">
        <v>296</v>
      </c>
      <c r="G2" s="965"/>
      <c r="H2" s="965"/>
      <c r="I2" s="349"/>
      <c r="J2" s="349"/>
      <c r="K2" s="349"/>
    </row>
    <row r="3" spans="1:11">
      <c r="A3" s="364" t="str">
        <f>TH!A2</f>
        <v>Địa chỉ: Ấp Rừng Sến, xã Mỹ Hạnh Bắc, Huyện Đức Hòa, Tỉnh Long An, Việt Nam</v>
      </c>
      <c r="B3" s="348"/>
      <c r="C3" s="348"/>
      <c r="D3" s="348"/>
      <c r="E3" s="311"/>
      <c r="F3" s="964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64"/>
      <c r="H3" s="964"/>
      <c r="I3" s="349"/>
      <c r="J3" s="349"/>
      <c r="K3" s="349"/>
    </row>
    <row r="4" spans="1:11">
      <c r="A4" s="308"/>
      <c r="B4" s="308"/>
      <c r="C4" s="311"/>
      <c r="D4" s="311"/>
      <c r="E4" s="311"/>
      <c r="F4" s="964"/>
      <c r="G4" s="964"/>
      <c r="H4" s="964"/>
      <c r="I4" s="349"/>
      <c r="J4" s="349"/>
      <c r="K4" s="349"/>
    </row>
    <row r="5" spans="1:11">
      <c r="A5" s="308"/>
      <c r="B5" s="308"/>
      <c r="C5" s="311"/>
      <c r="D5" s="311"/>
      <c r="E5" s="311"/>
      <c r="F5" s="311"/>
      <c r="G5" s="311"/>
      <c r="H5" s="311"/>
      <c r="I5" s="349"/>
      <c r="J5" s="349"/>
      <c r="K5" s="349"/>
    </row>
    <row r="6" spans="1:11" ht="23.25" customHeight="1" thickBot="1">
      <c r="A6" s="970" t="s">
        <v>297</v>
      </c>
      <c r="B6" s="970"/>
      <c r="C6" s="970"/>
      <c r="D6" s="970"/>
      <c r="E6" s="970"/>
      <c r="F6" s="970"/>
      <c r="G6" s="970"/>
      <c r="H6" s="970"/>
      <c r="I6" s="349"/>
      <c r="J6" s="349"/>
      <c r="K6" s="349"/>
    </row>
    <row r="7" spans="1:11" ht="17.25" customHeight="1" thickBot="1">
      <c r="A7" s="969" t="str">
        <f ca="1" xml:space="preserve"> IF(ROWS($1:1)&gt;COUNT(Dong3),"","Số: "&amp;OFFSET('SO-TS'!$G$1,SMALL(Dong3,ROWS($1:1)),))</f>
        <v>Số: SX01/16</v>
      </c>
      <c r="B7" s="969"/>
      <c r="C7" s="969"/>
      <c r="D7" s="969"/>
      <c r="E7" s="969"/>
      <c r="F7" s="969"/>
      <c r="G7" s="969"/>
      <c r="H7" s="969"/>
      <c r="I7" s="349"/>
      <c r="J7" s="365" t="s">
        <v>314</v>
      </c>
      <c r="K7" s="366" t="s">
        <v>319</v>
      </c>
    </row>
    <row r="8" spans="1:11" ht="17.25" customHeight="1">
      <c r="A8" s="97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71"/>
      <c r="C8" s="971"/>
      <c r="D8" s="971"/>
      <c r="E8" s="971"/>
      <c r="F8" s="971"/>
      <c r="G8" s="971"/>
      <c r="H8" s="971"/>
      <c r="I8" s="349"/>
      <c r="J8" s="349"/>
      <c r="K8" s="349"/>
    </row>
    <row r="9" spans="1:11" ht="12" customHeight="1">
      <c r="A9" s="308"/>
      <c r="B9" s="308"/>
      <c r="C9" s="308"/>
      <c r="D9" s="308"/>
      <c r="E9" s="308"/>
      <c r="F9" s="308"/>
      <c r="G9" s="311"/>
      <c r="H9" s="311"/>
      <c r="I9" s="349"/>
      <c r="J9" s="349"/>
      <c r="K9" s="349"/>
    </row>
    <row r="10" spans="1:11" ht="15" customHeight="1">
      <c r="A10" s="307" t="str">
        <f ca="1">"Căn cứ vào biên bản giao nhận TSCĐ "&amp;"  "&amp;A7&amp;"  "&amp;A8</f>
        <v>Căn cứ vào biên bản giao nhận TSCĐ   Số: SX01/16  Ngày   12   tháng   7  năm   2016</v>
      </c>
      <c r="B10" s="307"/>
      <c r="C10" s="307"/>
      <c r="D10" s="307"/>
      <c r="E10" s="307"/>
      <c r="F10" s="307"/>
      <c r="G10" s="307"/>
      <c r="H10" s="307"/>
      <c r="I10" s="349"/>
      <c r="J10" s="349"/>
      <c r="K10" s="349"/>
    </row>
    <row r="11" spans="1:11" ht="15" customHeight="1">
      <c r="A11" s="307" t="s">
        <v>315</v>
      </c>
      <c r="B11" s="307"/>
      <c r="C11" s="307"/>
      <c r="D11" s="307" t="s">
        <v>345</v>
      </c>
      <c r="E11" s="307" t="str">
        <f ca="1" xml:space="preserve"> IF(ROWS($1:1)&gt;COUNT(Dong3),"","Số hiệu TSCĐ:   "&amp;OFFSET('SO-TS'!$G$1,SMALL(Dong3,ROWS($1:1)),))</f>
        <v>Số hiệu TSCĐ:   SX01/16</v>
      </c>
      <c r="F11" s="307"/>
      <c r="G11" s="349"/>
      <c r="H11" s="307"/>
      <c r="I11" s="349"/>
      <c r="J11" s="349"/>
      <c r="K11" s="349"/>
    </row>
    <row r="12" spans="1:11" ht="15" customHeight="1">
      <c r="A12" s="307" t="str">
        <f ca="1" xml:space="preserve"> IF(ROWS($1:1)&gt;COUNT(Dong3),"","Nước sản xuất:   "&amp;OFFSET('SO-TS'!$E$1,SMALL(Dong3,ROWS($1:1)),))</f>
        <v>Nước sản xuất:   Việt Nam</v>
      </c>
      <c r="B12" s="307"/>
      <c r="C12" s="307"/>
      <c r="D12" s="307"/>
      <c r="E12" s="307" t="s">
        <v>316</v>
      </c>
      <c r="F12" s="307"/>
      <c r="G12" s="307"/>
      <c r="H12" s="307"/>
      <c r="I12" s="349"/>
      <c r="J12" s="349"/>
      <c r="K12" s="349"/>
    </row>
    <row r="13" spans="1:11" ht="15" customHeight="1">
      <c r="A13" s="30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07"/>
      <c r="C13" s="307"/>
      <c r="D13" s="307"/>
      <c r="E13" s="307" t="str">
        <f ca="1" xml:space="preserve"> IF(ROWS($1:1)&gt;COUNT(Dong3),"","Tháng, năm đưa vào sử dụng:    "&amp;OFFSET('SO-TS'!$F$1,SMALL(Dong3,ROWS($1:1)),))</f>
        <v>Tháng, năm đưa vào sử dụng:    07/2016</v>
      </c>
      <c r="F13" s="307"/>
      <c r="G13" s="307"/>
      <c r="H13" s="307"/>
      <c r="I13" s="349"/>
      <c r="J13" s="349"/>
      <c r="K13" s="349"/>
    </row>
    <row r="14" spans="1:11" ht="15" customHeight="1">
      <c r="A14" s="307" t="s">
        <v>298</v>
      </c>
      <c r="B14" s="307"/>
      <c r="C14" s="307"/>
      <c r="D14" s="307"/>
      <c r="E14" s="307"/>
      <c r="F14" s="307"/>
      <c r="G14" s="307"/>
      <c r="H14" s="307"/>
      <c r="I14" s="349"/>
      <c r="J14" s="349"/>
      <c r="K14" s="349"/>
    </row>
    <row r="15" spans="1:11" ht="15" customHeight="1">
      <c r="A15" s="307" t="s">
        <v>318</v>
      </c>
      <c r="B15" s="307"/>
      <c r="C15" s="307"/>
      <c r="D15" s="307"/>
      <c r="E15" s="307"/>
      <c r="F15" s="307"/>
      <c r="G15" s="307"/>
      <c r="H15" s="307"/>
      <c r="I15" s="349"/>
      <c r="J15" s="349"/>
      <c r="K15" s="349"/>
    </row>
    <row r="16" spans="1:11" ht="15" customHeight="1">
      <c r="A16" s="367" t="s">
        <v>317</v>
      </c>
      <c r="B16" s="367"/>
      <c r="C16" s="367"/>
      <c r="D16" s="367"/>
      <c r="E16" s="367"/>
      <c r="F16" s="367"/>
      <c r="G16" s="367"/>
      <c r="H16" s="367"/>
      <c r="I16" s="349"/>
      <c r="J16" s="349"/>
      <c r="K16" s="349"/>
    </row>
    <row r="17" spans="1:11" ht="18" customHeight="1">
      <c r="A17" s="973" t="s">
        <v>120</v>
      </c>
      <c r="B17" s="974"/>
      <c r="C17" s="977" t="s">
        <v>299</v>
      </c>
      <c r="D17" s="978"/>
      <c r="E17" s="979"/>
      <c r="F17" s="980" t="s">
        <v>300</v>
      </c>
      <c r="G17" s="981"/>
      <c r="H17" s="982"/>
      <c r="I17" s="361"/>
      <c r="J17" s="361"/>
      <c r="K17" s="361"/>
    </row>
    <row r="18" spans="1:11" ht="28.5" customHeight="1">
      <c r="A18" s="975"/>
      <c r="B18" s="976"/>
      <c r="C18" s="336" t="s">
        <v>301</v>
      </c>
      <c r="D18" s="336" t="s">
        <v>0</v>
      </c>
      <c r="E18" s="336" t="s">
        <v>302</v>
      </c>
      <c r="F18" s="336" t="s">
        <v>303</v>
      </c>
      <c r="G18" s="336" t="s">
        <v>304</v>
      </c>
      <c r="H18" s="336" t="s">
        <v>305</v>
      </c>
      <c r="I18" s="361"/>
      <c r="J18" s="361"/>
      <c r="K18" s="361"/>
    </row>
    <row r="19" spans="1:11">
      <c r="A19" s="983" t="s">
        <v>2</v>
      </c>
      <c r="B19" s="983"/>
      <c r="C19" s="362" t="s">
        <v>3</v>
      </c>
      <c r="D19" s="362" t="s">
        <v>4</v>
      </c>
      <c r="E19" s="362">
        <v>1</v>
      </c>
      <c r="F19" s="362">
        <v>2</v>
      </c>
      <c r="G19" s="362">
        <v>3</v>
      </c>
      <c r="H19" s="362">
        <v>4</v>
      </c>
      <c r="I19" s="363"/>
      <c r="J19" s="363"/>
      <c r="K19" s="363"/>
    </row>
    <row r="20" spans="1:11" ht="17.25" customHeight="1">
      <c r="A20" s="294">
        <f ca="1">IF(B20&lt;&gt;"",ROW()-19,"")</f>
        <v>1</v>
      </c>
      <c r="B20" s="350" t="str">
        <f ca="1" xml:space="preserve"> IF(ROWS($1:1)&gt;COUNT(Dong3),"",OFFSET('SO-TS'!G$1,SMALL(Dong3,ROWS($1:1)),))</f>
        <v>SX01/16</v>
      </c>
      <c r="C20" s="350" t="str">
        <f ca="1" xml:space="preserve"> IF(ROWS($1:1)&gt;COUNT(Dong3),"",OFFSET('SO-TS'!F$1,SMALL(Dong3,ROWS($1:1)),))</f>
        <v>07/2016</v>
      </c>
      <c r="D20" s="375" t="str">
        <f ca="1" xml:space="preserve"> IF(ROWS($1:1)&gt;COUNT(Dong3),"",OFFSET('SO-TS'!D$1,SMALL(Dong3,ROWS($1:1)),))</f>
        <v>Máy chap khe khổ 2m</v>
      </c>
      <c r="E20" s="376">
        <f ca="1" xml:space="preserve"> IF(ROWS($1:1)&gt;COUNT(Dong3),"",OFFSET('SO-TS'!H$1,SMALL(Dong3,ROWS($1:1)),))</f>
        <v>15000000</v>
      </c>
      <c r="F20" s="377" t="str">
        <f ca="1" xml:space="preserve"> IF(ROWS($1:1)&gt;COUNT(Dong3),"",RIGHT(OFFSET('SO-TS'!F$1,SMALL(Dong3,ROWS($1:1)),),4))</f>
        <v>2016</v>
      </c>
      <c r="G20" s="48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89">
        <f ca="1">G20</f>
        <v>1500000</v>
      </c>
      <c r="I20" s="349"/>
      <c r="J20" s="349"/>
      <c r="K20" s="349"/>
    </row>
    <row r="21" spans="1:11" ht="17.25" customHeight="1">
      <c r="A21" s="294" t="str">
        <f t="shared" ref="A21:A27" ca="1" si="0">IF(B21&lt;&gt;"",ROW()-19,"")</f>
        <v/>
      </c>
      <c r="B21" s="350" t="str">
        <f ca="1" xml:space="preserve"> IF(ROWS($1:2)&gt;COUNT(Dong3),"",OFFSET('SO-TS'!G$1,SMALL(Dong3,ROWS($1:2)),))</f>
        <v/>
      </c>
      <c r="C21" s="350" t="str">
        <f ca="1" xml:space="preserve"> IF(ROWS($1:2)&gt;COUNT(Dong3),"",OFFSET('SO-TS'!F$1,SMALL(Dong3,ROWS($1:2)),))</f>
        <v/>
      </c>
      <c r="D21" s="375" t="str">
        <f ca="1" xml:space="preserve"> IF(ROWS($1:2)&gt;COUNT(Dong3),"",OFFSET('SO-TS'!D$1,SMALL(Dong3,ROWS($1:2)),))</f>
        <v/>
      </c>
      <c r="E21" s="376" t="str">
        <f ca="1" xml:space="preserve"> IF(ROWS($1:2)&gt;COUNT(Dong3),"",OFFSET('SO-TS'!H$1,SMALL(Dong3,ROWS($1:2)),))</f>
        <v/>
      </c>
      <c r="F21" s="377" t="str">
        <f ca="1">IF(OR(F20="",AND((ROW()-19)&gt;OFFSET('SO-TS'!I$1,SMALL(Dong3,ROWS(1:1)),)+1),$E$29-H20&lt;=0),"",IF(VALUE(F20)&gt;=VALUE(YEAR(TH!$C$10)),"",F20+1))</f>
        <v/>
      </c>
      <c r="G21" s="48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88">
        <f ca="1">IF(G21&lt;&gt;0,H20+G21,0)</f>
        <v>0</v>
      </c>
      <c r="I21" s="349"/>
      <c r="J21" s="349"/>
      <c r="K21" s="349"/>
    </row>
    <row r="22" spans="1:11" ht="17.25" customHeight="1">
      <c r="A22" s="294" t="str">
        <f t="shared" ca="1" si="0"/>
        <v/>
      </c>
      <c r="B22" s="350" t="str">
        <f ca="1" xml:space="preserve"> IF(ROWS($1:3)&gt;COUNT(Dong3),"",OFFSET('SO-TS'!G$1,SMALL(Dong3,ROWS($1:3)),))</f>
        <v/>
      </c>
      <c r="C22" s="350" t="str">
        <f ca="1" xml:space="preserve"> IF(ROWS($1:3)&gt;COUNT(Dong3),"",OFFSET('SO-TS'!F$1,SMALL(Dong3,ROWS($1:3)),))</f>
        <v/>
      </c>
      <c r="D22" s="375" t="str">
        <f ca="1" xml:space="preserve"> IF(ROWS($1:3)&gt;COUNT(Dong3),"",OFFSET('SO-TS'!D$1,SMALL(Dong3,ROWS($1:3)),))</f>
        <v/>
      </c>
      <c r="E22" s="376" t="str">
        <f ca="1" xml:space="preserve"> IF(ROWS($1:3)&gt;COUNT(Dong3),"",OFFSET('SO-TS'!H$1,SMALL(Dong3,ROWS($1:3)),))</f>
        <v/>
      </c>
      <c r="F22" s="377" t="str">
        <f ca="1">IF(OR(F21="",AND((ROW()-19)&gt;OFFSET('SO-TS'!I$1,SMALL(Dong3,ROWS(2:2)),)+1),$E$29-H21&lt;=0),"",IF(VALUE(F21)&gt;=VALUE(YEAR(TH!$C$10)),"",F21+1))</f>
        <v/>
      </c>
      <c r="G22" s="48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88">
        <f t="shared" ref="H22:H27" ca="1" si="1">IF(G22&lt;&gt;0,H21+G22,0)</f>
        <v>0</v>
      </c>
      <c r="I22" s="349"/>
      <c r="J22" s="349"/>
      <c r="K22" s="349"/>
    </row>
    <row r="23" spans="1:11" ht="17.25" customHeight="1">
      <c r="A23" s="294" t="str">
        <f t="shared" ca="1" si="0"/>
        <v/>
      </c>
      <c r="B23" s="350" t="str">
        <f ca="1" xml:space="preserve"> IF(ROWS($1:4)&gt;COUNT(Dong3),"",OFFSET('SO-TS'!G$1,SMALL(Dong3,ROWS($1:4)),))</f>
        <v/>
      </c>
      <c r="C23" s="350" t="str">
        <f ca="1" xml:space="preserve"> IF(ROWS($1:4)&gt;COUNT(Dong3),"",OFFSET('SO-TS'!F$1,SMALL(Dong3,ROWS($1:4)),))</f>
        <v/>
      </c>
      <c r="D23" s="375" t="str">
        <f ca="1" xml:space="preserve"> IF(ROWS($1:4)&gt;COUNT(Dong3),"",OFFSET('SO-TS'!D$1,SMALL(Dong3,ROWS($1:4)),))</f>
        <v/>
      </c>
      <c r="E23" s="376" t="str">
        <f ca="1" xml:space="preserve"> IF(ROWS($1:4)&gt;COUNT(Dong3),"",OFFSET('SO-TS'!H$1,SMALL(Dong3,ROWS($1:4)),))</f>
        <v/>
      </c>
      <c r="F23" s="377" t="str">
        <f ca="1">IF(OR(F22="",AND((ROW()-19)&gt;OFFSET('SO-TS'!I$1,SMALL(Dong3,ROWS(3:3)),)+1),$E$29-H22&lt;=0),"",IF(VALUE(F22)&gt;=VALUE(YEAR(TH!$C$10)),"",F22+1))</f>
        <v/>
      </c>
      <c r="G23" s="48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88">
        <f t="shared" ca="1" si="1"/>
        <v>0</v>
      </c>
      <c r="I23" s="349"/>
      <c r="J23" s="349"/>
      <c r="K23" s="349"/>
    </row>
    <row r="24" spans="1:11" ht="17.25" customHeight="1">
      <c r="A24" s="294" t="str">
        <f t="shared" ca="1" si="0"/>
        <v/>
      </c>
      <c r="B24" s="350" t="str">
        <f ca="1" xml:space="preserve"> IF(ROWS($1:5)&gt;COUNT(Dong3),"",OFFSET('SO-TS'!G$1,SMALL(Dong3,ROWS($1:5)),))</f>
        <v/>
      </c>
      <c r="C24" s="350" t="str">
        <f ca="1" xml:space="preserve"> IF(ROWS($1:5)&gt;COUNT(Dong3),"",OFFSET('SO-TS'!F$1,SMALL(Dong3,ROWS($1:5)),))</f>
        <v/>
      </c>
      <c r="D24" s="375" t="str">
        <f ca="1" xml:space="preserve"> IF(ROWS($1:5)&gt;COUNT(Dong3),"",OFFSET('SO-TS'!D$1,SMALL(Dong3,ROWS($1:5)),))</f>
        <v/>
      </c>
      <c r="E24" s="376" t="str">
        <f ca="1" xml:space="preserve"> IF(ROWS($1:5)&gt;COUNT(Dong3),"",OFFSET('SO-TS'!H$1,SMALL(Dong3,ROWS($1:5)),))</f>
        <v/>
      </c>
      <c r="F24" s="377" t="str">
        <f ca="1">IF(OR(F23="",AND((ROW()-19)&gt;OFFSET('SO-TS'!I$1,SMALL(Dong3,ROWS(4:4)),)+1),$E$29-H23&lt;=0),"",IF(VALUE(F23)&gt;=VALUE(YEAR(TH!$C$10)),"",F23+1))</f>
        <v/>
      </c>
      <c r="G24" s="48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88">
        <f t="shared" ca="1" si="1"/>
        <v>0</v>
      </c>
      <c r="I24" s="349"/>
      <c r="J24" s="349"/>
      <c r="K24" s="349"/>
    </row>
    <row r="25" spans="1:11" ht="17.25" customHeight="1">
      <c r="A25" s="294" t="str">
        <f t="shared" si="0"/>
        <v/>
      </c>
      <c r="B25" s="783"/>
      <c r="C25" s="783"/>
      <c r="D25" s="784"/>
      <c r="E25" s="135"/>
      <c r="F25" s="377" t="str">
        <f ca="1">IF(OR(F24="",AND((ROW()-19)&gt;OFFSET('SO-TS'!I$1,SMALL(Dong3,ROWS(5:5)),)+1),$E$29-H24&lt;=0),"",IF(VALUE(F24)&gt;=VALUE(YEAR(TH!$C$10)),"",F24+1))</f>
        <v/>
      </c>
      <c r="G25" s="48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88">
        <f t="shared" ca="1" si="1"/>
        <v>0</v>
      </c>
      <c r="I25" s="349"/>
      <c r="J25" s="349"/>
      <c r="K25" s="349"/>
    </row>
    <row r="26" spans="1:11" ht="17.25" customHeight="1">
      <c r="A26" s="294" t="str">
        <f t="shared" si="0"/>
        <v/>
      </c>
      <c r="B26" s="783"/>
      <c r="C26" s="783"/>
      <c r="D26" s="784"/>
      <c r="E26" s="135"/>
      <c r="F26" s="377" t="str">
        <f ca="1">IF(OR(F25="",AND((ROW()-19)&gt;OFFSET('SO-TS'!I$1,SMALL(Dong3,ROWS(6:6)),)+1),$E$29-H25&lt;=0),"",IF(VALUE(F25)&gt;=VALUE(YEAR(TH!$C$10)),"",F25+1))</f>
        <v/>
      </c>
      <c r="G26" s="48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88">
        <f t="shared" ca="1" si="1"/>
        <v>0</v>
      </c>
      <c r="I26" s="349"/>
      <c r="J26" s="349"/>
      <c r="K26" s="349"/>
    </row>
    <row r="27" spans="1:11" ht="17.25" customHeight="1">
      <c r="A27" s="294" t="str">
        <f t="shared" si="0"/>
        <v/>
      </c>
      <c r="B27" s="783"/>
      <c r="C27" s="783"/>
      <c r="D27" s="784"/>
      <c r="E27" s="135"/>
      <c r="F27" s="377" t="str">
        <f ca="1">IF(OR(F26="",AND((ROW()-19)&gt;OFFSET('SO-TS'!I$1,SMALL(Dong3,ROWS(7:7)),)+1),$E$29-H26&lt;=0),"",IF(VALUE(F26)&gt;=VALUE(YEAR(TH!$C$10)),"",F26+1))</f>
        <v/>
      </c>
      <c r="G27" s="48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88">
        <f t="shared" ca="1" si="1"/>
        <v>0</v>
      </c>
      <c r="I27" s="349"/>
      <c r="J27" s="349"/>
      <c r="K27" s="349"/>
    </row>
    <row r="28" spans="1:11" ht="17.25" customHeight="1">
      <c r="A28" s="785" t="str">
        <f t="shared" ref="A28" si="2">IF(B28&lt;&gt;"",ROW()-19,"")</f>
        <v/>
      </c>
      <c r="B28" s="786"/>
      <c r="C28" s="787"/>
      <c r="D28" s="787"/>
      <c r="E28" s="788"/>
      <c r="F28" s="789"/>
      <c r="G28" s="788"/>
      <c r="H28" s="788"/>
      <c r="I28" s="349"/>
      <c r="J28" s="349"/>
      <c r="K28" s="349"/>
    </row>
    <row r="29" spans="1:11" ht="17.25" customHeight="1">
      <c r="A29" s="321"/>
      <c r="B29" s="321" t="s">
        <v>306</v>
      </c>
      <c r="C29" s="351"/>
      <c r="D29" s="351"/>
      <c r="E29" s="378">
        <f ca="1">SUM(E20:E28)</f>
        <v>15000000</v>
      </c>
      <c r="F29" s="351"/>
      <c r="G29" s="378">
        <f ca="1">SUM(G20:G28)</f>
        <v>1500000</v>
      </c>
      <c r="H29" s="378"/>
      <c r="I29" s="349"/>
      <c r="J29" s="349"/>
      <c r="K29" s="349"/>
    </row>
    <row r="30" spans="1:11" ht="17.25" customHeight="1">
      <c r="A30" s="352"/>
      <c r="B30" s="352"/>
      <c r="C30" s="353"/>
      <c r="D30" s="353"/>
      <c r="E30" s="353"/>
      <c r="F30" s="353"/>
      <c r="G30" s="354"/>
      <c r="H30" s="354"/>
      <c r="I30" s="349"/>
      <c r="J30" s="349"/>
      <c r="K30" s="349"/>
    </row>
    <row r="31" spans="1:11" ht="17.25" customHeight="1">
      <c r="A31" s="352"/>
      <c r="B31" s="352"/>
      <c r="C31" s="353"/>
      <c r="D31" s="353"/>
      <c r="E31" s="353"/>
      <c r="F31" s="353"/>
      <c r="G31" s="354"/>
      <c r="H31" s="354"/>
      <c r="I31" s="349"/>
      <c r="J31" s="349"/>
      <c r="K31" s="349"/>
    </row>
    <row r="32" spans="1:11" ht="17.25" customHeight="1">
      <c r="A32" s="984" t="s">
        <v>307</v>
      </c>
      <c r="B32" s="984"/>
      <c r="C32" s="984"/>
      <c r="D32" s="984"/>
      <c r="E32" s="984"/>
      <c r="F32" s="984"/>
      <c r="G32" s="984"/>
      <c r="H32" s="984"/>
      <c r="I32" s="349"/>
      <c r="J32" s="349"/>
      <c r="K32" s="349"/>
    </row>
    <row r="33" spans="1:11" ht="27" customHeight="1">
      <c r="A33" s="321" t="s">
        <v>34</v>
      </c>
      <c r="B33" s="958" t="s">
        <v>308</v>
      </c>
      <c r="C33" s="960"/>
      <c r="D33" s="351" t="s">
        <v>185</v>
      </c>
      <c r="E33" s="351" t="s">
        <v>309</v>
      </c>
      <c r="F33" s="351" t="s">
        <v>310</v>
      </c>
      <c r="G33" s="354"/>
      <c r="H33" s="354"/>
      <c r="I33" s="349"/>
      <c r="J33" s="349"/>
      <c r="K33" s="349"/>
    </row>
    <row r="34" spans="1:11" ht="17.25" customHeight="1">
      <c r="A34" s="321" t="s">
        <v>2</v>
      </c>
      <c r="B34" s="321" t="s">
        <v>3</v>
      </c>
      <c r="C34" s="351"/>
      <c r="D34" s="351" t="s">
        <v>4</v>
      </c>
      <c r="E34" s="351">
        <v>1</v>
      </c>
      <c r="F34" s="351">
        <v>2</v>
      </c>
      <c r="G34" s="354"/>
      <c r="H34" s="354"/>
      <c r="I34" s="349"/>
      <c r="J34" s="349"/>
      <c r="K34" s="349"/>
    </row>
    <row r="35" spans="1:11" ht="17.25" customHeight="1">
      <c r="A35" s="355"/>
      <c r="B35" s="355"/>
      <c r="C35" s="356"/>
      <c r="D35" s="356"/>
      <c r="E35" s="356"/>
      <c r="F35" s="356"/>
      <c r="G35" s="354"/>
      <c r="H35" s="354"/>
      <c r="I35" s="349"/>
      <c r="J35" s="349"/>
      <c r="K35" s="349"/>
    </row>
    <row r="36" spans="1:11" ht="17.25" customHeight="1">
      <c r="A36" s="357"/>
      <c r="B36" s="357"/>
      <c r="C36" s="358"/>
      <c r="D36" s="358"/>
      <c r="E36" s="358"/>
      <c r="F36" s="358"/>
      <c r="G36" s="354"/>
      <c r="H36" s="354"/>
      <c r="I36" s="349"/>
      <c r="J36" s="349"/>
      <c r="K36" s="349"/>
    </row>
    <row r="37" spans="1:11" ht="17.25" customHeight="1">
      <c r="A37" s="357"/>
      <c r="B37" s="357"/>
      <c r="C37" s="358"/>
      <c r="D37" s="358"/>
      <c r="E37" s="358"/>
      <c r="F37" s="358"/>
      <c r="G37" s="354"/>
      <c r="H37" s="354"/>
      <c r="I37" s="349"/>
      <c r="J37" s="349"/>
      <c r="K37" s="349"/>
    </row>
    <row r="38" spans="1:11" ht="17.25" customHeight="1">
      <c r="A38" s="357"/>
      <c r="B38" s="357"/>
      <c r="C38" s="358"/>
      <c r="D38" s="358"/>
      <c r="E38" s="358"/>
      <c r="F38" s="358"/>
      <c r="G38" s="354"/>
      <c r="H38" s="354"/>
      <c r="I38" s="349"/>
      <c r="J38" s="349"/>
      <c r="K38" s="349"/>
    </row>
    <row r="39" spans="1:11" ht="17.25" customHeight="1">
      <c r="A39" s="359"/>
      <c r="B39" s="359"/>
      <c r="C39" s="360"/>
      <c r="D39" s="360"/>
      <c r="E39" s="360"/>
      <c r="F39" s="360"/>
      <c r="G39" s="354"/>
      <c r="H39" s="354"/>
      <c r="I39" s="349"/>
      <c r="J39" s="349"/>
      <c r="K39" s="349"/>
    </row>
    <row r="40" spans="1:11">
      <c r="A40" s="352"/>
      <c r="B40" s="352"/>
      <c r="C40" s="353"/>
      <c r="D40" s="353"/>
      <c r="E40" s="353"/>
      <c r="F40" s="353"/>
      <c r="G40" s="354"/>
      <c r="H40" s="354"/>
      <c r="I40" s="349"/>
      <c r="J40" s="349"/>
      <c r="K40" s="349"/>
    </row>
    <row r="41" spans="1:11">
      <c r="A41" s="985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85"/>
      <c r="C41" s="985"/>
      <c r="D41" s="985"/>
      <c r="E41" s="985"/>
      <c r="F41" s="985"/>
      <c r="G41" s="985"/>
      <c r="H41" s="985"/>
      <c r="I41" s="349"/>
      <c r="J41" s="349"/>
      <c r="K41" s="349"/>
    </row>
    <row r="42" spans="1:11">
      <c r="A42" s="985" t="str">
        <f ca="1" xml:space="preserve"> IF(ROWS($1:1)&gt;COUNT(Dong3),"","Lý do giảm:   "&amp;OFFSET('SO-TS'!$O$1,SMALL(Dong3,ROWS($1:1)),))</f>
        <v xml:space="preserve">Lý do giảm:   </v>
      </c>
      <c r="B42" s="985"/>
      <c r="C42" s="985"/>
      <c r="D42" s="985"/>
      <c r="E42" s="985"/>
      <c r="F42" s="985"/>
      <c r="G42" s="985"/>
      <c r="H42" s="985"/>
      <c r="I42" s="349"/>
      <c r="J42" s="349"/>
      <c r="K42" s="349"/>
    </row>
    <row r="43" spans="1:11">
      <c r="A43" s="331"/>
      <c r="B43" s="331"/>
      <c r="C43" s="326"/>
      <c r="D43" s="326"/>
      <c r="E43" s="972" t="str">
        <f>"Ngày 31 tháng  12  năm  "&amp;YEAR(TH!$C$10)</f>
        <v>Ngày 31 tháng  12  năm  2016</v>
      </c>
      <c r="F43" s="972"/>
      <c r="G43" s="972"/>
      <c r="H43" s="972"/>
      <c r="I43" s="349"/>
      <c r="J43" s="349"/>
      <c r="K43" s="349"/>
    </row>
    <row r="44" spans="1:11">
      <c r="A44" s="969" t="s">
        <v>311</v>
      </c>
      <c r="B44" s="969"/>
      <c r="C44" s="969" t="s">
        <v>12</v>
      </c>
      <c r="D44" s="969"/>
      <c r="E44" s="965" t="s">
        <v>104</v>
      </c>
      <c r="F44" s="965"/>
      <c r="G44" s="965"/>
      <c r="H44" s="965"/>
      <c r="I44" s="349"/>
      <c r="J44" s="349"/>
      <c r="K44" s="349"/>
    </row>
    <row r="45" spans="1:11">
      <c r="A45" s="349"/>
      <c r="B45" s="349"/>
      <c r="C45" s="349"/>
      <c r="D45" s="349"/>
      <c r="E45" s="349"/>
      <c r="F45" s="349"/>
      <c r="G45" s="349"/>
      <c r="H45" s="349"/>
      <c r="I45" s="349"/>
      <c r="J45" s="349"/>
      <c r="K45" s="349"/>
    </row>
  </sheetData>
  <dataConsolidate/>
  <mergeCells count="17"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2017-03-17T02:33:18Z</cp:lastPrinted>
  <dcterms:created xsi:type="dcterms:W3CDTF">1996-10-14T23:33:28Z</dcterms:created>
  <dcterms:modified xsi:type="dcterms:W3CDTF">2017-03-17T02:54:24Z</dcterms:modified>
</cp:coreProperties>
</file>