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20" yWindow="270" windowWidth="15150" windowHeight="8520" tabRatio="897" activeTab="10"/>
  </bookViews>
  <sheets>
    <sheet name="TH" sheetId="15" r:id="rId1"/>
    <sheet name="CC -5" sheetId="14" r:id="rId2"/>
    <sheet name="L - 5" sheetId="16" r:id="rId3"/>
    <sheet name="CC -6" sheetId="33" r:id="rId4"/>
    <sheet name="L - 6" sheetId="34" r:id="rId5"/>
    <sheet name="CC -7" sheetId="35" r:id="rId6"/>
    <sheet name="L - 7" sheetId="36" r:id="rId7"/>
    <sheet name="CC - 8" sheetId="37" r:id="rId8"/>
    <sheet name="L - 8" sheetId="38" r:id="rId9"/>
    <sheet name="CC -9" sheetId="39" r:id="rId10"/>
    <sheet name="L - 9" sheetId="40" r:id="rId11"/>
  </sheets>
  <definedNames>
    <definedName name="____a1" hidden="1">{"'Sheet1'!$L$16"}</definedName>
    <definedName name="_a1" localSheetId="7" hidden="1">{"'Sheet1'!$L$16"}</definedName>
    <definedName name="_a1" localSheetId="1" hidden="1">{"'Sheet1'!$L$16"}</definedName>
    <definedName name="_a1" localSheetId="3" hidden="1">{"'Sheet1'!$L$16"}</definedName>
    <definedName name="_a1" localSheetId="5" hidden="1">{"'Sheet1'!$L$16"}</definedName>
    <definedName name="_a1" localSheetId="9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7" hidden="1">'CC - 8'!$A$7:$AS$7</definedName>
    <definedName name="_xlnm._FilterDatabase" localSheetId="1" hidden="1">'CC -5'!$A$7:$AS$7</definedName>
    <definedName name="_xlnm._FilterDatabase" localSheetId="3" hidden="1">'CC -6'!$A$7:$AS$7</definedName>
    <definedName name="_xlnm._FilterDatabase" localSheetId="5" hidden="1">'CC -7'!$A$7:$AS$7</definedName>
    <definedName name="_xlnm._FilterDatabase" localSheetId="9" hidden="1">'CC -9'!$A$7:$AS$7</definedName>
    <definedName name="_xlnm._FilterDatabase" localSheetId="2" hidden="1">'L - 5'!$A$7:$AE$10</definedName>
    <definedName name="_xlnm._FilterDatabase" localSheetId="4" hidden="1">'L - 6'!$A$7:$AE$10</definedName>
    <definedName name="_xlnm._FilterDatabase" localSheetId="6" hidden="1">'L - 7'!$A$7:$AE$10</definedName>
    <definedName name="_xlnm._FilterDatabase" localSheetId="8" hidden="1">'L - 8'!$A$7:$AE$10</definedName>
    <definedName name="_xlnm._FilterDatabase" localSheetId="10" hidden="1">'L - 9'!$A$7:$AE$10</definedName>
    <definedName name="_xlnm._FilterDatabase" localSheetId="0" hidden="1">TH!$A$10:$Z$19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7" hidden="1">{#N/A,#N/A,FALSE,"Chi tiÆt"}</definedName>
    <definedName name="dh" localSheetId="1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9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0" hidden="1">{#N/A,#N/A,FALSE,"Chi tiÆt"}</definedName>
    <definedName name="dh" hidden="1">{#N/A,#N/A,FALSE,"Chi tiÆt"}</definedName>
    <definedName name="DS">TH!$B$11:$X$24</definedName>
    <definedName name="GFSAH" localSheetId="7" hidden="1">{"'Sheet1'!$L$16"}</definedName>
    <definedName name="GFSAH" localSheetId="1" hidden="1">{"'Sheet1'!$L$16"}</definedName>
    <definedName name="GFSAH" localSheetId="3" hidden="1">{"'Sheet1'!$L$16"}</definedName>
    <definedName name="GFSAH" localSheetId="5" hidden="1">{"'Sheet1'!$L$16"}</definedName>
    <definedName name="GFSAH" localSheetId="9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0" hidden="1">{"'Sheet1'!$L$16"}</definedName>
    <definedName name="GFSAH" hidden="1">{"'Sheet1'!$L$16"}</definedName>
    <definedName name="GJFXJXJ" localSheetId="7" hidden="1">{#N/A,#N/A,FALSE,"Chi tiÆt"}</definedName>
    <definedName name="GJFXJXJ" localSheetId="1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9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7" hidden="1">{"'Sheet1'!$L$16"}</definedName>
    <definedName name="h" localSheetId="1" hidden="1">{"'Sheet1'!$L$16"}</definedName>
    <definedName name="h" localSheetId="3" hidden="1">{"'Sheet1'!$L$16"}</definedName>
    <definedName name="h" localSheetId="5" hidden="1">{"'Sheet1'!$L$16"}</definedName>
    <definedName name="h" localSheetId="9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0" hidden="1">{"'Sheet1'!$L$16"}</definedName>
    <definedName name="h" hidden="1">{"'Sheet1'!$L$16"}</definedName>
    <definedName name="hsgdkhog" localSheetId="7" hidden="1">{#N/A,#N/A,FALSE,"Chi tiÆt"}</definedName>
    <definedName name="hsgdkhog" localSheetId="1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9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7" hidden="1">{"'Sheet1'!$L$16"}</definedName>
    <definedName name="HTML_Control" localSheetId="1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9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7" hidden="1">{"'Sheet1'!$L$16"}</definedName>
    <definedName name="huy" localSheetId="1" hidden="1">{"'Sheet1'!$L$16"}</definedName>
    <definedName name="huy" localSheetId="3" hidden="1">{"'Sheet1'!$L$16"}</definedName>
    <definedName name="huy" localSheetId="5" hidden="1">{"'Sheet1'!$L$16"}</definedName>
    <definedName name="huy" localSheetId="9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0" hidden="1">{"'Sheet1'!$L$16"}</definedName>
    <definedName name="huy" hidden="1">{"'Sheet1'!$L$16"}</definedName>
    <definedName name="khkl" localSheetId="7" hidden="1">{"'Sheet1'!$L$16"}</definedName>
    <definedName name="khkl" localSheetId="1" hidden="1">{"'Sheet1'!$L$16"}</definedName>
    <definedName name="khkl" localSheetId="3" hidden="1">{"'Sheet1'!$L$16"}</definedName>
    <definedName name="khkl" localSheetId="5" hidden="1">{"'Sheet1'!$L$16"}</definedName>
    <definedName name="khkl" localSheetId="9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0" hidden="1">{"'Sheet1'!$L$16"}</definedName>
    <definedName name="khkl" hidden="1">{"'Sheet1'!$L$16"}</definedName>
    <definedName name="kjjh" localSheetId="7" hidden="1">{"'Sheet1'!$L$16"}</definedName>
    <definedName name="kjjh" localSheetId="1" hidden="1">{"'Sheet1'!$L$16"}</definedName>
    <definedName name="kjjh" localSheetId="3" hidden="1">{"'Sheet1'!$L$16"}</definedName>
    <definedName name="kjjh" localSheetId="5" hidden="1">{"'Sheet1'!$L$16"}</definedName>
    <definedName name="kjjh" localSheetId="9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0" hidden="1">{"'Sheet1'!$L$16"}</definedName>
    <definedName name="kjjh" hidden="1">{"'Sheet1'!$L$16"}</definedName>
    <definedName name="KTLDLAN3" localSheetId="7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9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0" hidden="1">{"'Sheet1'!$L$16"}</definedName>
    <definedName name="KTLDLAN3" hidden="1">{"'Sheet1'!$L$16"}</definedName>
    <definedName name="_xlnm.Print_Area" localSheetId="7">'CC - 8'!$A$1:$AS$43</definedName>
    <definedName name="_xlnm.Print_Area" localSheetId="1">'CC -5'!$A$1:$AS$43</definedName>
    <definedName name="_xlnm.Print_Area" localSheetId="3">'CC -6'!$A$1:$AS$43</definedName>
    <definedName name="_xlnm.Print_Area" localSheetId="5">'CC -7'!$A$1:$AS$43</definedName>
    <definedName name="_xlnm.Print_Area" localSheetId="9">'CC -9'!$A$1:$AS$43</definedName>
    <definedName name="ưer" localSheetId="7" hidden="1">{"'Sheet1'!$L$16"}</definedName>
    <definedName name="ưer" localSheetId="1" hidden="1">{"'Sheet1'!$L$16"}</definedName>
    <definedName name="ưer" localSheetId="3" hidden="1">{"'Sheet1'!$L$16"}</definedName>
    <definedName name="ưer" localSheetId="5" hidden="1">{"'Sheet1'!$L$16"}</definedName>
    <definedName name="ưer" localSheetId="9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0" hidden="1">{"'Sheet1'!$L$16"}</definedName>
    <definedName name="ưer" hidden="1">{"'Sheet1'!$L$16"}</definedName>
    <definedName name="UU" localSheetId="7" hidden="1">{"'Sheet1'!$L$16"}</definedName>
    <definedName name="UU" localSheetId="1" hidden="1">{"'Sheet1'!$L$16"}</definedName>
    <definedName name="UU" localSheetId="3" hidden="1">{"'Sheet1'!$L$16"}</definedName>
    <definedName name="UU" localSheetId="5" hidden="1">{"'Sheet1'!$L$16"}</definedName>
    <definedName name="UU" localSheetId="9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0" hidden="1">{"'Sheet1'!$L$16"}</definedName>
    <definedName name="UU" hidden="1">{"'Sheet1'!$L$16"}</definedName>
    <definedName name="wrn.chi._.tiÆt." localSheetId="7" hidden="1">{#N/A,#N/A,FALSE,"Chi tiÆt"}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9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5621"/>
</workbook>
</file>

<file path=xl/calcChain.xml><?xml version="1.0" encoding="utf-8"?>
<calcChain xmlns="http://schemas.openxmlformats.org/spreadsheetml/2006/main">
  <c r="R18" i="40" l="1"/>
  <c r="P18" i="40"/>
  <c r="O18" i="40"/>
  <c r="N18" i="40"/>
  <c r="E18" i="40"/>
  <c r="D18" i="40"/>
  <c r="C18" i="40"/>
  <c r="R17" i="40"/>
  <c r="P17" i="40"/>
  <c r="O17" i="40"/>
  <c r="N17" i="40"/>
  <c r="E17" i="40"/>
  <c r="D17" i="40"/>
  <c r="C17" i="40"/>
  <c r="R16" i="40"/>
  <c r="R20" i="40" s="1"/>
  <c r="P16" i="40"/>
  <c r="P20" i="40" s="1"/>
  <c r="O16" i="40"/>
  <c r="O20" i="40" s="1"/>
  <c r="N16" i="40"/>
  <c r="N20" i="40" s="1"/>
  <c r="E16" i="40"/>
  <c r="E20" i="40" s="1"/>
  <c r="D16" i="40"/>
  <c r="C16" i="40"/>
  <c r="R12" i="40"/>
  <c r="P12" i="40"/>
  <c r="O12" i="40"/>
  <c r="N12" i="40"/>
  <c r="E12" i="40"/>
  <c r="D12" i="40"/>
  <c r="C12" i="40"/>
  <c r="R11" i="40"/>
  <c r="R14" i="40" s="1"/>
  <c r="P11" i="40"/>
  <c r="O11" i="40"/>
  <c r="N11" i="40"/>
  <c r="N14" i="40" s="1"/>
  <c r="E11" i="40"/>
  <c r="D11" i="40"/>
  <c r="C11" i="40"/>
  <c r="R10" i="40"/>
  <c r="P10" i="40"/>
  <c r="P14" i="40" s="1"/>
  <c r="O10" i="40"/>
  <c r="O14" i="40" s="1"/>
  <c r="N10" i="40"/>
  <c r="E10" i="40"/>
  <c r="D10" i="40"/>
  <c r="C10" i="40"/>
  <c r="E4" i="40"/>
  <c r="S22" i="40" s="1"/>
  <c r="A3" i="40"/>
  <c r="A2" i="40"/>
  <c r="AL20" i="39"/>
  <c r="D20" i="39"/>
  <c r="C20" i="39"/>
  <c r="AL18" i="39"/>
  <c r="D18" i="39"/>
  <c r="C18" i="39"/>
  <c r="A18" i="39"/>
  <c r="A20" i="39" s="1"/>
  <c r="AL16" i="39"/>
  <c r="D16" i="39"/>
  <c r="C16" i="39"/>
  <c r="AL13" i="39"/>
  <c r="D13" i="39"/>
  <c r="C13" i="39"/>
  <c r="A13" i="39"/>
  <c r="AL11" i="39"/>
  <c r="D11" i="39"/>
  <c r="C11" i="39"/>
  <c r="A11" i="39"/>
  <c r="AL9" i="39"/>
  <c r="D9" i="39"/>
  <c r="C9" i="39"/>
  <c r="F5" i="39"/>
  <c r="G5" i="39" s="1"/>
  <c r="A3" i="39"/>
  <c r="A2" i="39"/>
  <c r="S1" i="39"/>
  <c r="R18" i="38"/>
  <c r="P18" i="38"/>
  <c r="O18" i="38"/>
  <c r="N18" i="38"/>
  <c r="E18" i="38"/>
  <c r="D18" i="38"/>
  <c r="C18" i="38"/>
  <c r="R17" i="38"/>
  <c r="P17" i="38"/>
  <c r="O17" i="38"/>
  <c r="N17" i="38"/>
  <c r="E17" i="38"/>
  <c r="D17" i="38"/>
  <c r="C17" i="38"/>
  <c r="R16" i="38"/>
  <c r="R20" i="38" s="1"/>
  <c r="P16" i="38"/>
  <c r="P20" i="38" s="1"/>
  <c r="O16" i="38"/>
  <c r="N16" i="38"/>
  <c r="E16" i="38"/>
  <c r="E20" i="38" s="1"/>
  <c r="D16" i="38"/>
  <c r="C16" i="38"/>
  <c r="R12" i="38"/>
  <c r="P12" i="38"/>
  <c r="O12" i="38"/>
  <c r="N12" i="38"/>
  <c r="E12" i="38"/>
  <c r="D12" i="38"/>
  <c r="C12" i="38"/>
  <c r="R11" i="38"/>
  <c r="P11" i="38"/>
  <c r="O11" i="38"/>
  <c r="N11" i="38"/>
  <c r="E11" i="38"/>
  <c r="D11" i="38"/>
  <c r="C11" i="38"/>
  <c r="R10" i="38"/>
  <c r="R14" i="38" s="1"/>
  <c r="P10" i="38"/>
  <c r="O10" i="38"/>
  <c r="N10" i="38"/>
  <c r="N14" i="38" s="1"/>
  <c r="E10" i="38"/>
  <c r="D10" i="38"/>
  <c r="C10" i="38"/>
  <c r="E4" i="38"/>
  <c r="S22" i="38" s="1"/>
  <c r="A3" i="38"/>
  <c r="A2" i="38"/>
  <c r="D1" i="38"/>
  <c r="AL20" i="37"/>
  <c r="D20" i="37"/>
  <c r="C20" i="37"/>
  <c r="AL18" i="37"/>
  <c r="D18" i="37"/>
  <c r="C18" i="37"/>
  <c r="A18" i="37"/>
  <c r="A20" i="37" s="1"/>
  <c r="AL16" i="37"/>
  <c r="D16" i="37"/>
  <c r="C16" i="37"/>
  <c r="AL13" i="37"/>
  <c r="D13" i="37"/>
  <c r="C13" i="37"/>
  <c r="A13" i="37"/>
  <c r="AL11" i="37"/>
  <c r="D11" i="37"/>
  <c r="C11" i="37"/>
  <c r="A11" i="37"/>
  <c r="AL9" i="37"/>
  <c r="D9" i="37"/>
  <c r="C9" i="37"/>
  <c r="F5" i="37"/>
  <c r="F6" i="37" s="1"/>
  <c r="A3" i="37"/>
  <c r="A2" i="37"/>
  <c r="S1" i="37"/>
  <c r="R18" i="36"/>
  <c r="P18" i="36"/>
  <c r="O18" i="36"/>
  <c r="N18" i="36"/>
  <c r="E18" i="36"/>
  <c r="D18" i="36"/>
  <c r="C18" i="36"/>
  <c r="R17" i="36"/>
  <c r="P17" i="36"/>
  <c r="O17" i="36"/>
  <c r="N17" i="36"/>
  <c r="E17" i="36"/>
  <c r="D17" i="36"/>
  <c r="C17" i="36"/>
  <c r="R16" i="36"/>
  <c r="P16" i="36"/>
  <c r="P20" i="36" s="1"/>
  <c r="O16" i="36"/>
  <c r="N16" i="36"/>
  <c r="E16" i="36"/>
  <c r="D16" i="36"/>
  <c r="C16" i="36"/>
  <c r="R12" i="36"/>
  <c r="P12" i="36"/>
  <c r="O12" i="36"/>
  <c r="N12" i="36"/>
  <c r="E12" i="36"/>
  <c r="D12" i="36"/>
  <c r="C12" i="36"/>
  <c r="R11" i="36"/>
  <c r="P11" i="36"/>
  <c r="O11" i="36"/>
  <c r="N11" i="36"/>
  <c r="E11" i="36"/>
  <c r="D11" i="36"/>
  <c r="C11" i="36"/>
  <c r="R10" i="36"/>
  <c r="R14" i="36" s="1"/>
  <c r="P10" i="36"/>
  <c r="O10" i="36"/>
  <c r="N10" i="36"/>
  <c r="E10" i="36"/>
  <c r="D10" i="36"/>
  <c r="C10" i="36"/>
  <c r="E4" i="36"/>
  <c r="S22" i="36" s="1"/>
  <c r="A3" i="36"/>
  <c r="A2" i="36"/>
  <c r="D1" i="36"/>
  <c r="AL20" i="35"/>
  <c r="D20" i="35"/>
  <c r="C20" i="35"/>
  <c r="AL18" i="35"/>
  <c r="D18" i="35"/>
  <c r="C18" i="35"/>
  <c r="A18" i="35"/>
  <c r="A20" i="35" s="1"/>
  <c r="AL16" i="35"/>
  <c r="D16" i="35"/>
  <c r="C16" i="35"/>
  <c r="AL13" i="35"/>
  <c r="D13" i="35"/>
  <c r="C13" i="35"/>
  <c r="A13" i="35"/>
  <c r="AL11" i="35"/>
  <c r="D11" i="35"/>
  <c r="C11" i="35"/>
  <c r="A11" i="35"/>
  <c r="AL9" i="35"/>
  <c r="D9" i="35"/>
  <c r="C9" i="35"/>
  <c r="F5" i="35"/>
  <c r="F6" i="35" s="1"/>
  <c r="A3" i="35"/>
  <c r="A2" i="35"/>
  <c r="S1" i="35"/>
  <c r="F6" i="39" l="1"/>
  <c r="D1" i="40"/>
  <c r="G6" i="39"/>
  <c r="H5" i="39"/>
  <c r="E14" i="40"/>
  <c r="N14" i="36"/>
  <c r="E20" i="36"/>
  <c r="R20" i="36"/>
  <c r="O14" i="38"/>
  <c r="N20" i="38"/>
  <c r="O14" i="36"/>
  <c r="P14" i="38"/>
  <c r="O20" i="38"/>
  <c r="G5" i="37"/>
  <c r="E14" i="38"/>
  <c r="N20" i="36"/>
  <c r="P14" i="36"/>
  <c r="O20" i="36"/>
  <c r="G5" i="35"/>
  <c r="E14" i="36"/>
  <c r="C11" i="34"/>
  <c r="D11" i="34"/>
  <c r="E11" i="34"/>
  <c r="G11" i="34" s="1"/>
  <c r="F11" i="34"/>
  <c r="L11" i="34" s="1"/>
  <c r="H11" i="34"/>
  <c r="N11" i="34"/>
  <c r="O11" i="34"/>
  <c r="P11" i="34"/>
  <c r="R11" i="34"/>
  <c r="C12" i="34"/>
  <c r="D12" i="34"/>
  <c r="E12" i="34"/>
  <c r="F12" i="34"/>
  <c r="H12" i="34"/>
  <c r="N12" i="34"/>
  <c r="O12" i="34"/>
  <c r="P12" i="34"/>
  <c r="R12" i="34"/>
  <c r="AL11" i="33"/>
  <c r="D11" i="33"/>
  <c r="C11" i="33"/>
  <c r="A11" i="33"/>
  <c r="C16" i="16"/>
  <c r="D16" i="16"/>
  <c r="E16" i="16"/>
  <c r="F16" i="16"/>
  <c r="L16" i="16" s="1"/>
  <c r="H16" i="16"/>
  <c r="N16" i="16"/>
  <c r="O16" i="16"/>
  <c r="P16" i="16"/>
  <c r="R16" i="16"/>
  <c r="C17" i="16"/>
  <c r="D17" i="16"/>
  <c r="E17" i="16"/>
  <c r="F17" i="16"/>
  <c r="L17" i="16" s="1"/>
  <c r="H17" i="16"/>
  <c r="N17" i="16"/>
  <c r="O17" i="16"/>
  <c r="P17" i="16"/>
  <c r="R17" i="16"/>
  <c r="C18" i="16"/>
  <c r="D18" i="16"/>
  <c r="E18" i="16"/>
  <c r="F18" i="16"/>
  <c r="H18" i="16"/>
  <c r="N18" i="16"/>
  <c r="O18" i="16"/>
  <c r="P18" i="16"/>
  <c r="R18" i="16"/>
  <c r="C10" i="16"/>
  <c r="D10" i="16"/>
  <c r="E10" i="16"/>
  <c r="F10" i="16"/>
  <c r="H10" i="16"/>
  <c r="N10" i="16"/>
  <c r="O10" i="16"/>
  <c r="P10" i="16"/>
  <c r="R10" i="16"/>
  <c r="C11" i="16"/>
  <c r="D11" i="16"/>
  <c r="E11" i="16"/>
  <c r="F11" i="16"/>
  <c r="L11" i="16" s="1"/>
  <c r="H11" i="16"/>
  <c r="N11" i="16"/>
  <c r="O11" i="16"/>
  <c r="P11" i="16"/>
  <c r="R11" i="16"/>
  <c r="C12" i="16"/>
  <c r="D12" i="16"/>
  <c r="E12" i="16"/>
  <c r="F12" i="16"/>
  <c r="L12" i="16" s="1"/>
  <c r="H12" i="16"/>
  <c r="N12" i="16"/>
  <c r="O12" i="16"/>
  <c r="P12" i="16"/>
  <c r="R12" i="16"/>
  <c r="I5" i="39" l="1"/>
  <c r="H6" i="39"/>
  <c r="G17" i="16"/>
  <c r="J17" i="16"/>
  <c r="I11" i="34"/>
  <c r="K11" i="34" s="1"/>
  <c r="M11" i="34" s="1"/>
  <c r="Q11" i="34" s="1"/>
  <c r="S11" i="34" s="1"/>
  <c r="E14" i="16"/>
  <c r="G6" i="37"/>
  <c r="H5" i="37"/>
  <c r="P20" i="16"/>
  <c r="P14" i="16"/>
  <c r="O20" i="16"/>
  <c r="E20" i="16"/>
  <c r="R20" i="16"/>
  <c r="N20" i="16"/>
  <c r="N14" i="16"/>
  <c r="R14" i="16"/>
  <c r="G6" i="35"/>
  <c r="H5" i="35"/>
  <c r="I12" i="34"/>
  <c r="J18" i="16"/>
  <c r="G16" i="16"/>
  <c r="J12" i="34"/>
  <c r="O14" i="16"/>
  <c r="I18" i="16"/>
  <c r="G12" i="34"/>
  <c r="K12" i="34"/>
  <c r="J11" i="34"/>
  <c r="L12" i="34"/>
  <c r="J11" i="16"/>
  <c r="G18" i="16"/>
  <c r="I16" i="16"/>
  <c r="L18" i="16"/>
  <c r="L20" i="16" s="1"/>
  <c r="I17" i="16"/>
  <c r="K17" i="16" s="1"/>
  <c r="M17" i="16" s="1"/>
  <c r="Q17" i="16" s="1"/>
  <c r="S17" i="16" s="1"/>
  <c r="J16" i="16"/>
  <c r="G12" i="16"/>
  <c r="G11" i="16"/>
  <c r="G10" i="16"/>
  <c r="I10" i="16"/>
  <c r="I12" i="16"/>
  <c r="L10" i="16"/>
  <c r="L14" i="16" s="1"/>
  <c r="I11" i="16"/>
  <c r="J10" i="16"/>
  <c r="J12" i="16"/>
  <c r="AL11" i="14"/>
  <c r="D11" i="14"/>
  <c r="C11" i="14"/>
  <c r="A12" i="15"/>
  <c r="A13" i="15"/>
  <c r="A14" i="15"/>
  <c r="A15" i="15"/>
  <c r="A16" i="15"/>
  <c r="A17" i="15"/>
  <c r="A18" i="15"/>
  <c r="A19" i="15"/>
  <c r="A20" i="15"/>
  <c r="A21" i="15"/>
  <c r="A11" i="15"/>
  <c r="J5" i="39" l="1"/>
  <c r="I6" i="39"/>
  <c r="K18" i="16"/>
  <c r="M18" i="16" s="1"/>
  <c r="Q18" i="16" s="1"/>
  <c r="S18" i="16" s="1"/>
  <c r="I5" i="37"/>
  <c r="H6" i="37"/>
  <c r="G20" i="16"/>
  <c r="K16" i="16"/>
  <c r="I20" i="16"/>
  <c r="I5" i="35"/>
  <c r="H6" i="35"/>
  <c r="M12" i="34"/>
  <c r="Q12" i="34" s="1"/>
  <c r="S12" i="34" s="1"/>
  <c r="K12" i="16"/>
  <c r="M12" i="16" s="1"/>
  <c r="Q12" i="16" s="1"/>
  <c r="S12" i="16" s="1"/>
  <c r="I14" i="16"/>
  <c r="G14" i="16"/>
  <c r="K10" i="16"/>
  <c r="M10" i="16" s="1"/>
  <c r="M14" i="16" s="1"/>
  <c r="K11" i="16"/>
  <c r="M11" i="16" s="1"/>
  <c r="Q11" i="16" s="1"/>
  <c r="S11" i="16" s="1"/>
  <c r="R18" i="34"/>
  <c r="P18" i="34"/>
  <c r="O18" i="34"/>
  <c r="N18" i="34"/>
  <c r="E18" i="34"/>
  <c r="D18" i="34"/>
  <c r="C18" i="34"/>
  <c r="R17" i="34"/>
  <c r="P17" i="34"/>
  <c r="O17" i="34"/>
  <c r="N17" i="34"/>
  <c r="E17" i="34"/>
  <c r="D17" i="34"/>
  <c r="C17" i="34"/>
  <c r="R16" i="34"/>
  <c r="P16" i="34"/>
  <c r="O16" i="34"/>
  <c r="N16" i="34"/>
  <c r="N20" i="34" s="1"/>
  <c r="E16" i="34"/>
  <c r="D16" i="34"/>
  <c r="C16" i="34"/>
  <c r="R10" i="34"/>
  <c r="R14" i="34" s="1"/>
  <c r="P10" i="34"/>
  <c r="P14" i="34" s="1"/>
  <c r="O10" i="34"/>
  <c r="O14" i="34" s="1"/>
  <c r="N10" i="34"/>
  <c r="N14" i="34" s="1"/>
  <c r="E10" i="34"/>
  <c r="E14" i="34" s="1"/>
  <c r="D10" i="34"/>
  <c r="C10" i="34"/>
  <c r="E4" i="34"/>
  <c r="A3" i="34"/>
  <c r="A2" i="34"/>
  <c r="AL20" i="33"/>
  <c r="D20" i="33"/>
  <c r="C20" i="33"/>
  <c r="AL18" i="33"/>
  <c r="D18" i="33"/>
  <c r="C18" i="33"/>
  <c r="A18" i="33"/>
  <c r="A20" i="33" s="1"/>
  <c r="AL16" i="33"/>
  <c r="D16" i="33"/>
  <c r="C16" i="33"/>
  <c r="AL13" i="33"/>
  <c r="D13" i="33"/>
  <c r="C13" i="33"/>
  <c r="A13" i="33"/>
  <c r="AL9" i="33"/>
  <c r="D9" i="33"/>
  <c r="C9" i="33"/>
  <c r="F5" i="33"/>
  <c r="G5" i="33" s="1"/>
  <c r="A3" i="33"/>
  <c r="A2" i="33"/>
  <c r="S1" i="33"/>
  <c r="J6" i="39" l="1"/>
  <c r="K5" i="39"/>
  <c r="O20" i="34"/>
  <c r="J5" i="37"/>
  <c r="I6" i="37"/>
  <c r="P20" i="34"/>
  <c r="E20" i="34"/>
  <c r="R20" i="34"/>
  <c r="J5" i="35"/>
  <c r="I6" i="35"/>
  <c r="M16" i="16"/>
  <c r="K20" i="16"/>
  <c r="S22" i="34"/>
  <c r="K14" i="16"/>
  <c r="Q10" i="16"/>
  <c r="Q14" i="16" s="1"/>
  <c r="F6" i="33"/>
  <c r="G6" i="33"/>
  <c r="H5" i="33"/>
  <c r="D1" i="34"/>
  <c r="E28" i="15"/>
  <c r="K6" i="39" l="1"/>
  <c r="L5" i="39"/>
  <c r="J6" i="37"/>
  <c r="K5" i="37"/>
  <c r="Q16" i="16"/>
  <c r="M20" i="16"/>
  <c r="J6" i="35"/>
  <c r="K5" i="35"/>
  <c r="S10" i="16"/>
  <c r="S14" i="16" s="1"/>
  <c r="I5" i="33"/>
  <c r="H6" i="33"/>
  <c r="J22" i="15"/>
  <c r="F22" i="15"/>
  <c r="M5" i="39" l="1"/>
  <c r="L6" i="39"/>
  <c r="K6" i="37"/>
  <c r="L5" i="37"/>
  <c r="S16" i="16"/>
  <c r="S20" i="16" s="1"/>
  <c r="Q20" i="16"/>
  <c r="K6" i="35"/>
  <c r="L5" i="35"/>
  <c r="J5" i="33"/>
  <c r="I6" i="33"/>
  <c r="E4" i="16"/>
  <c r="A3" i="16"/>
  <c r="A2" i="16"/>
  <c r="N5" i="39" l="1"/>
  <c r="M6" i="39"/>
  <c r="M5" i="37"/>
  <c r="L6" i="37"/>
  <c r="M5" i="35"/>
  <c r="L6" i="35"/>
  <c r="D1" i="16"/>
  <c r="J6" i="33"/>
  <c r="K5" i="33"/>
  <c r="S22" i="16"/>
  <c r="A3" i="14"/>
  <c r="A2" i="14"/>
  <c r="N6" i="39" l="1"/>
  <c r="O5" i="39"/>
  <c r="N5" i="37"/>
  <c r="M6" i="37"/>
  <c r="N5" i="35"/>
  <c r="M6" i="35"/>
  <c r="K6" i="33"/>
  <c r="L5" i="33"/>
  <c r="M77" i="15"/>
  <c r="N105" i="15" s="1"/>
  <c r="M78" i="15"/>
  <c r="N107" i="15" s="1"/>
  <c r="M79" i="15"/>
  <c r="N109" i="15" s="1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49" i="15"/>
  <c r="J23" i="15" a="1"/>
  <c r="J23" i="15" s="1"/>
  <c r="O6" i="39" l="1"/>
  <c r="P5" i="39"/>
  <c r="N6" i="37"/>
  <c r="O5" i="37"/>
  <c r="N6" i="35"/>
  <c r="O5" i="35"/>
  <c r="M5" i="33"/>
  <c r="L6" i="33"/>
  <c r="AL18" i="14"/>
  <c r="AL20" i="14"/>
  <c r="AL16" i="14"/>
  <c r="AL13" i="14"/>
  <c r="AL9" i="14"/>
  <c r="Q5" i="39" l="1"/>
  <c r="P6" i="39"/>
  <c r="O6" i="37"/>
  <c r="P5" i="37"/>
  <c r="O6" i="35"/>
  <c r="P5" i="35"/>
  <c r="N5" i="33"/>
  <c r="M6" i="33"/>
  <c r="N51" i="15"/>
  <c r="N53" i="15"/>
  <c r="N55" i="15"/>
  <c r="N57" i="15"/>
  <c r="N59" i="15"/>
  <c r="N61" i="15"/>
  <c r="N63" i="15"/>
  <c r="N65" i="15"/>
  <c r="N67" i="15"/>
  <c r="N69" i="15"/>
  <c r="N71" i="15"/>
  <c r="N73" i="15"/>
  <c r="N75" i="15"/>
  <c r="N77" i="15"/>
  <c r="N79" i="15"/>
  <c r="N81" i="15"/>
  <c r="N83" i="15"/>
  <c r="N85" i="15"/>
  <c r="N87" i="15"/>
  <c r="N89" i="15"/>
  <c r="N91" i="15"/>
  <c r="N93" i="15"/>
  <c r="N95" i="15"/>
  <c r="N97" i="15"/>
  <c r="N99" i="15"/>
  <c r="N101" i="15"/>
  <c r="N103" i="15"/>
  <c r="N49" i="15"/>
  <c r="R5" i="39" l="1"/>
  <c r="Q6" i="39"/>
  <c r="Q5" i="37"/>
  <c r="P6" i="37"/>
  <c r="Q5" i="35"/>
  <c r="P6" i="35"/>
  <c r="N6" i="33"/>
  <c r="O5" i="33"/>
  <c r="S1" i="14"/>
  <c r="E22" i="15"/>
  <c r="R6" i="39" l="1"/>
  <c r="S5" i="39"/>
  <c r="R5" i="37"/>
  <c r="Q6" i="37"/>
  <c r="R5" i="35"/>
  <c r="Q6" i="35"/>
  <c r="O6" i="33"/>
  <c r="P5" i="33"/>
  <c r="K23" i="15" a="1"/>
  <c r="K23" i="15" s="1"/>
  <c r="L23" i="15" a="1"/>
  <c r="L23" i="15" s="1"/>
  <c r="M23" i="15" a="1"/>
  <c r="M23" i="15" s="1"/>
  <c r="N23" i="15" a="1"/>
  <c r="N23" i="15" s="1"/>
  <c r="O23" i="15" a="1"/>
  <c r="O23" i="15" s="1"/>
  <c r="P23" i="15" a="1"/>
  <c r="P23" i="15" s="1"/>
  <c r="Q23" i="15" a="1"/>
  <c r="Q23" i="15" s="1"/>
  <c r="R23" i="15" a="1"/>
  <c r="R23" i="15" s="1"/>
  <c r="S23" i="15" a="1"/>
  <c r="S23" i="15" s="1"/>
  <c r="T23" i="15" a="1"/>
  <c r="T23" i="15" s="1"/>
  <c r="U23" i="15" a="1"/>
  <c r="U23" i="15" s="1"/>
  <c r="D20" i="14"/>
  <c r="D18" i="14"/>
  <c r="A18" i="14"/>
  <c r="A20" i="14" s="1"/>
  <c r="D16" i="14"/>
  <c r="U22" i="15"/>
  <c r="K22" i="15"/>
  <c r="L22" i="15"/>
  <c r="M22" i="15"/>
  <c r="N22" i="15"/>
  <c r="O22" i="15"/>
  <c r="P22" i="15"/>
  <c r="Q22" i="15"/>
  <c r="R22" i="15"/>
  <c r="S22" i="15"/>
  <c r="T22" i="15"/>
  <c r="G22" i="15"/>
  <c r="H22" i="15"/>
  <c r="C13" i="14"/>
  <c r="A6" i="15"/>
  <c r="S6" i="39" l="1"/>
  <c r="T5" i="39"/>
  <c r="R6" i="37"/>
  <c r="S5" i="37"/>
  <c r="R6" i="35"/>
  <c r="S5" i="35"/>
  <c r="Q5" i="33"/>
  <c r="P6" i="33"/>
  <c r="C20" i="14"/>
  <c r="C16" i="14"/>
  <c r="C18" i="14"/>
  <c r="D13" i="14"/>
  <c r="D9" i="14"/>
  <c r="C9" i="14"/>
  <c r="F5" i="14"/>
  <c r="U5" i="39" l="1"/>
  <c r="T6" i="39"/>
  <c r="S6" i="37"/>
  <c r="T5" i="37"/>
  <c r="S6" i="35"/>
  <c r="T5" i="35"/>
  <c r="R5" i="33"/>
  <c r="Q6" i="33"/>
  <c r="F6" i="14"/>
  <c r="G5" i="14"/>
  <c r="V5" i="39" l="1"/>
  <c r="U6" i="39"/>
  <c r="U5" i="37"/>
  <c r="T6" i="37"/>
  <c r="U5" i="35"/>
  <c r="T6" i="35"/>
  <c r="R6" i="33"/>
  <c r="S5" i="33"/>
  <c r="H5" i="14"/>
  <c r="G6" i="14"/>
  <c r="V6" i="39" l="1"/>
  <c r="W5" i="39"/>
  <c r="V5" i="37"/>
  <c r="U6" i="37"/>
  <c r="V5" i="35"/>
  <c r="U6" i="35"/>
  <c r="S6" i="33"/>
  <c r="T5" i="33"/>
  <c r="H6" i="14"/>
  <c r="I5" i="14"/>
  <c r="W6" i="39" l="1"/>
  <c r="X5" i="39"/>
  <c r="V6" i="37"/>
  <c r="W5" i="37"/>
  <c r="V6" i="35"/>
  <c r="W5" i="35"/>
  <c r="U5" i="33"/>
  <c r="T6" i="33"/>
  <c r="I6" i="14"/>
  <c r="J5" i="14"/>
  <c r="Y5" i="39" l="1"/>
  <c r="X6" i="39"/>
  <c r="W6" i="37"/>
  <c r="X5" i="37"/>
  <c r="W6" i="35"/>
  <c r="X5" i="35"/>
  <c r="V5" i="33"/>
  <c r="U6" i="33"/>
  <c r="K5" i="14"/>
  <c r="J6" i="14"/>
  <c r="Z5" i="39" l="1"/>
  <c r="Y6" i="39"/>
  <c r="Y5" i="37"/>
  <c r="X6" i="37"/>
  <c r="Y5" i="35"/>
  <c r="X6" i="35"/>
  <c r="V6" i="33"/>
  <c r="W5" i="33"/>
  <c r="K6" i="14"/>
  <c r="L5" i="14"/>
  <c r="Z6" i="39" l="1"/>
  <c r="AA5" i="39"/>
  <c r="Z5" i="37"/>
  <c r="Y6" i="37"/>
  <c r="Z5" i="35"/>
  <c r="Y6" i="35"/>
  <c r="W6" i="33"/>
  <c r="X5" i="33"/>
  <c r="M5" i="14"/>
  <c r="L6" i="14"/>
  <c r="AA6" i="39" l="1"/>
  <c r="AB5" i="39"/>
  <c r="Z6" i="37"/>
  <c r="AA5" i="37"/>
  <c r="Z6" i="35"/>
  <c r="AA5" i="35"/>
  <c r="Y5" i="33"/>
  <c r="X6" i="33"/>
  <c r="N5" i="14"/>
  <c r="M6" i="14"/>
  <c r="AC5" i="39" l="1"/>
  <c r="AB6" i="39"/>
  <c r="AA6" i="37"/>
  <c r="AB5" i="37"/>
  <c r="AA6" i="35"/>
  <c r="AB5" i="35"/>
  <c r="Z5" i="33"/>
  <c r="Y6" i="33"/>
  <c r="O5" i="14"/>
  <c r="N6" i="14"/>
  <c r="AD5" i="39" l="1"/>
  <c r="AC6" i="39"/>
  <c r="AC5" i="37"/>
  <c r="AB6" i="37"/>
  <c r="AC5" i="35"/>
  <c r="AB6" i="35"/>
  <c r="Z6" i="33"/>
  <c r="AA5" i="33"/>
  <c r="P5" i="14"/>
  <c r="O6" i="14"/>
  <c r="AD6" i="39" l="1"/>
  <c r="AE5" i="39"/>
  <c r="AD5" i="37"/>
  <c r="AC6" i="37"/>
  <c r="AD5" i="35"/>
  <c r="AC6" i="35"/>
  <c r="AA6" i="33"/>
  <c r="AB5" i="33"/>
  <c r="P6" i="14"/>
  <c r="Q5" i="14"/>
  <c r="AE6" i="39" l="1"/>
  <c r="AF5" i="39"/>
  <c r="AD6" i="37"/>
  <c r="AE5" i="37"/>
  <c r="AD6" i="35"/>
  <c r="AE5" i="35"/>
  <c r="AC5" i="33"/>
  <c r="AB6" i="33"/>
  <c r="R5" i="14"/>
  <c r="Q6" i="14"/>
  <c r="AG5" i="39" l="1"/>
  <c r="AF6" i="39"/>
  <c r="AE6" i="37"/>
  <c r="AF5" i="37"/>
  <c r="AE6" i="35"/>
  <c r="AF5" i="35"/>
  <c r="AD5" i="33"/>
  <c r="AC6" i="33"/>
  <c r="S5" i="14"/>
  <c r="R6" i="14"/>
  <c r="AH5" i="39" l="1"/>
  <c r="AG6" i="39"/>
  <c r="AG5" i="37"/>
  <c r="AF6" i="37"/>
  <c r="AG5" i="35"/>
  <c r="AF6" i="35"/>
  <c r="AD6" i="33"/>
  <c r="AE5" i="33"/>
  <c r="S6" i="14"/>
  <c r="T5" i="14"/>
  <c r="AH6" i="39" l="1"/>
  <c r="AI5" i="39"/>
  <c r="AH5" i="37"/>
  <c r="AG6" i="37"/>
  <c r="AH5" i="35"/>
  <c r="AG6" i="35"/>
  <c r="AE6" i="33"/>
  <c r="AF5" i="33"/>
  <c r="T6" i="14"/>
  <c r="U5" i="14"/>
  <c r="AI6" i="39" l="1"/>
  <c r="AJ5" i="39"/>
  <c r="AJ6" i="39" s="1"/>
  <c r="AH6" i="37"/>
  <c r="AI5" i="37"/>
  <c r="AH6" i="35"/>
  <c r="AI5" i="35"/>
  <c r="AG5" i="33"/>
  <c r="AF6" i="33"/>
  <c r="V5" i="14"/>
  <c r="U6" i="14"/>
  <c r="AK13" i="39" l="1"/>
  <c r="AM18" i="39"/>
  <c r="H17" i="40" s="1"/>
  <c r="I17" i="40" s="1"/>
  <c r="AM13" i="39"/>
  <c r="H12" i="40" s="1"/>
  <c r="I12" i="40" s="1"/>
  <c r="AK16" i="39"/>
  <c r="AM20" i="39"/>
  <c r="H18" i="40" s="1"/>
  <c r="I18" i="40" s="1"/>
  <c r="AK18" i="39"/>
  <c r="AK11" i="39"/>
  <c r="AK20" i="39"/>
  <c r="AM9" i="39"/>
  <c r="H10" i="40" s="1"/>
  <c r="I10" i="40" s="1"/>
  <c r="AK9" i="39"/>
  <c r="AM11" i="39"/>
  <c r="H11" i="40" s="1"/>
  <c r="I11" i="40" s="1"/>
  <c r="AM16" i="39"/>
  <c r="H16" i="40" s="1"/>
  <c r="I16" i="40" s="1"/>
  <c r="AI6" i="37"/>
  <c r="AJ5" i="37"/>
  <c r="AJ6" i="37" s="1"/>
  <c r="AI6" i="35"/>
  <c r="AJ5" i="35"/>
  <c r="AJ6" i="35" s="1"/>
  <c r="AH5" i="33"/>
  <c r="AG6" i="33"/>
  <c r="W5" i="14"/>
  <c r="V6" i="14"/>
  <c r="I20" i="40" l="1"/>
  <c r="F18" i="40"/>
  <c r="AN20" i="39"/>
  <c r="F16" i="40"/>
  <c r="AN16" i="39"/>
  <c r="F11" i="40"/>
  <c r="AN11" i="39"/>
  <c r="AN9" i="39"/>
  <c r="F10" i="40"/>
  <c r="AN18" i="39"/>
  <c r="F17" i="40"/>
  <c r="I14" i="40"/>
  <c r="F12" i="40"/>
  <c r="AN13" i="39"/>
  <c r="AK9" i="37"/>
  <c r="AM11" i="37"/>
  <c r="H11" i="38" s="1"/>
  <c r="I11" i="38" s="1"/>
  <c r="AK18" i="37"/>
  <c r="AK13" i="37"/>
  <c r="AM9" i="37"/>
  <c r="H10" i="38" s="1"/>
  <c r="I10" i="38" s="1"/>
  <c r="AK11" i="37"/>
  <c r="AM18" i="37"/>
  <c r="H17" i="38" s="1"/>
  <c r="I17" i="38" s="1"/>
  <c r="AM13" i="37"/>
  <c r="H12" i="38" s="1"/>
  <c r="I12" i="38" s="1"/>
  <c r="AM20" i="37"/>
  <c r="H18" i="38" s="1"/>
  <c r="I18" i="38" s="1"/>
  <c r="AM16" i="37"/>
  <c r="H16" i="38" s="1"/>
  <c r="I16" i="38" s="1"/>
  <c r="AK16" i="37"/>
  <c r="AK20" i="37"/>
  <c r="AK9" i="35"/>
  <c r="AM13" i="35"/>
  <c r="H12" i="36" s="1"/>
  <c r="I12" i="36" s="1"/>
  <c r="AK18" i="35"/>
  <c r="AK11" i="35"/>
  <c r="AM18" i="35"/>
  <c r="H17" i="36" s="1"/>
  <c r="I17" i="36" s="1"/>
  <c r="AK20" i="35"/>
  <c r="AK16" i="35"/>
  <c r="AM20" i="35"/>
  <c r="H18" i="36" s="1"/>
  <c r="I18" i="36" s="1"/>
  <c r="AK13" i="35"/>
  <c r="AM11" i="35"/>
  <c r="H11" i="36" s="1"/>
  <c r="I11" i="36" s="1"/>
  <c r="AM16" i="35"/>
  <c r="H16" i="36" s="1"/>
  <c r="I16" i="36" s="1"/>
  <c r="AM9" i="35"/>
  <c r="H10" i="36" s="1"/>
  <c r="I10" i="36" s="1"/>
  <c r="AH6" i="33"/>
  <c r="AI5" i="33"/>
  <c r="X5" i="14"/>
  <c r="W6" i="14"/>
  <c r="J12" i="40" l="1"/>
  <c r="L12" i="40"/>
  <c r="G12" i="40"/>
  <c r="K12" i="40" s="1"/>
  <c r="L10" i="40"/>
  <c r="G10" i="40"/>
  <c r="J10" i="40"/>
  <c r="J16" i="40"/>
  <c r="L16" i="40"/>
  <c r="G16" i="40"/>
  <c r="L17" i="40"/>
  <c r="G17" i="40"/>
  <c r="K17" i="40" s="1"/>
  <c r="J17" i="40"/>
  <c r="L11" i="40"/>
  <c r="G11" i="40"/>
  <c r="K11" i="40" s="1"/>
  <c r="J11" i="40"/>
  <c r="L18" i="40"/>
  <c r="G18" i="40"/>
  <c r="K18" i="40" s="1"/>
  <c r="J18" i="40"/>
  <c r="I14" i="38"/>
  <c r="F18" i="38"/>
  <c r="AN20" i="37"/>
  <c r="F12" i="38"/>
  <c r="AN13" i="37"/>
  <c r="F16" i="38"/>
  <c r="AN16" i="37"/>
  <c r="AN18" i="37"/>
  <c r="F17" i="38"/>
  <c r="I20" i="38"/>
  <c r="F11" i="38"/>
  <c r="AN11" i="37"/>
  <c r="AN9" i="37"/>
  <c r="F10" i="38"/>
  <c r="I20" i="36"/>
  <c r="I14" i="36"/>
  <c r="AN11" i="35"/>
  <c r="F11" i="36"/>
  <c r="F16" i="36"/>
  <c r="AN16" i="35"/>
  <c r="AN18" i="35"/>
  <c r="F17" i="36"/>
  <c r="F18" i="36"/>
  <c r="AN20" i="35"/>
  <c r="F12" i="36"/>
  <c r="AN13" i="35"/>
  <c r="AN9" i="35"/>
  <c r="F10" i="36"/>
  <c r="AI6" i="33"/>
  <c r="AJ5" i="33"/>
  <c r="AJ6" i="33" s="1"/>
  <c r="Y5" i="14"/>
  <c r="X6" i="14"/>
  <c r="M18" i="40" l="1"/>
  <c r="Q18" i="40" s="1"/>
  <c r="S18" i="40" s="1"/>
  <c r="M17" i="40"/>
  <c r="Q17" i="40" s="1"/>
  <c r="S17" i="40" s="1"/>
  <c r="M12" i="40"/>
  <c r="Q12" i="40" s="1"/>
  <c r="S12" i="40" s="1"/>
  <c r="L20" i="40"/>
  <c r="L14" i="40"/>
  <c r="M11" i="40"/>
  <c r="Q11" i="40" s="1"/>
  <c r="S11" i="40" s="1"/>
  <c r="G20" i="40"/>
  <c r="K16" i="40"/>
  <c r="G14" i="40"/>
  <c r="K10" i="40"/>
  <c r="J12" i="38"/>
  <c r="L12" i="38"/>
  <c r="G12" i="38"/>
  <c r="K12" i="38" s="1"/>
  <c r="L17" i="38"/>
  <c r="J17" i="38"/>
  <c r="G17" i="38"/>
  <c r="K17" i="38" s="1"/>
  <c r="L11" i="38"/>
  <c r="J11" i="38"/>
  <c r="G11" i="38"/>
  <c r="K11" i="38" s="1"/>
  <c r="L10" i="38"/>
  <c r="J10" i="38"/>
  <c r="G10" i="38"/>
  <c r="J16" i="38"/>
  <c r="L16" i="38"/>
  <c r="G16" i="38"/>
  <c r="L18" i="38"/>
  <c r="G18" i="38"/>
  <c r="K18" i="38" s="1"/>
  <c r="J18" i="38"/>
  <c r="L10" i="36"/>
  <c r="G10" i="36"/>
  <c r="J10" i="36"/>
  <c r="J16" i="36"/>
  <c r="L16" i="36"/>
  <c r="G16" i="36"/>
  <c r="L17" i="36"/>
  <c r="J17" i="36"/>
  <c r="G17" i="36"/>
  <c r="K17" i="36" s="1"/>
  <c r="L11" i="36"/>
  <c r="G11" i="36"/>
  <c r="K11" i="36" s="1"/>
  <c r="M11" i="36" s="1"/>
  <c r="Q11" i="36" s="1"/>
  <c r="S11" i="36" s="1"/>
  <c r="J11" i="36"/>
  <c r="L18" i="36"/>
  <c r="G18" i="36"/>
  <c r="K18" i="36" s="1"/>
  <c r="J18" i="36"/>
  <c r="J12" i="36"/>
  <c r="L12" i="36"/>
  <c r="G12" i="36"/>
  <c r="K12" i="36" s="1"/>
  <c r="AM11" i="33"/>
  <c r="AK11" i="33"/>
  <c r="AN11" i="33" s="1"/>
  <c r="AK18" i="33"/>
  <c r="AM18" i="33"/>
  <c r="H17" i="34" s="1"/>
  <c r="I17" i="34" s="1"/>
  <c r="AM9" i="33"/>
  <c r="H10" i="34" s="1"/>
  <c r="I10" i="34" s="1"/>
  <c r="I14" i="34" s="1"/>
  <c r="AM16" i="33"/>
  <c r="H16" i="34" s="1"/>
  <c r="I16" i="34" s="1"/>
  <c r="AK9" i="33"/>
  <c r="AK20" i="33"/>
  <c r="AM20" i="33"/>
  <c r="H18" i="34" s="1"/>
  <c r="I18" i="34" s="1"/>
  <c r="AM13" i="33"/>
  <c r="AK16" i="33"/>
  <c r="AK13" i="33"/>
  <c r="Z5" i="14"/>
  <c r="Y6" i="14"/>
  <c r="K14" i="40" l="1"/>
  <c r="M10" i="40"/>
  <c r="K20" i="40"/>
  <c r="M16" i="40"/>
  <c r="M12" i="38"/>
  <c r="Q12" i="38" s="1"/>
  <c r="S12" i="38" s="1"/>
  <c r="L20" i="38"/>
  <c r="M17" i="38"/>
  <c r="Q17" i="38" s="1"/>
  <c r="S17" i="38" s="1"/>
  <c r="M18" i="38"/>
  <c r="Q18" i="38" s="1"/>
  <c r="S18" i="38" s="1"/>
  <c r="M11" i="38"/>
  <c r="Q11" i="38" s="1"/>
  <c r="S11" i="38" s="1"/>
  <c r="M12" i="36"/>
  <c r="Q12" i="36" s="1"/>
  <c r="S12" i="36" s="1"/>
  <c r="M18" i="36"/>
  <c r="Q18" i="36" s="1"/>
  <c r="S18" i="36" s="1"/>
  <c r="G14" i="38"/>
  <c r="K10" i="38"/>
  <c r="G20" i="38"/>
  <c r="K16" i="38"/>
  <c r="L14" i="38"/>
  <c r="G20" i="36"/>
  <c r="K16" i="36"/>
  <c r="G14" i="36"/>
  <c r="K10" i="36"/>
  <c r="M17" i="36"/>
  <c r="Q17" i="36" s="1"/>
  <c r="S17" i="36" s="1"/>
  <c r="L20" i="36"/>
  <c r="L14" i="36"/>
  <c r="I20" i="34"/>
  <c r="AN13" i="33"/>
  <c r="F18" i="34"/>
  <c r="AN20" i="33"/>
  <c r="AN16" i="33"/>
  <c r="F16" i="34"/>
  <c r="F10" i="34"/>
  <c r="AN9" i="33"/>
  <c r="AN18" i="33"/>
  <c r="F17" i="34"/>
  <c r="AA5" i="14"/>
  <c r="Z6" i="14"/>
  <c r="Q16" i="40" l="1"/>
  <c r="M20" i="40"/>
  <c r="Q10" i="40"/>
  <c r="M14" i="40"/>
  <c r="K14" i="38"/>
  <c r="M10" i="38"/>
  <c r="K20" i="38"/>
  <c r="M16" i="38"/>
  <c r="K14" i="36"/>
  <c r="M10" i="36"/>
  <c r="K20" i="36"/>
  <c r="M16" i="36"/>
  <c r="L17" i="34"/>
  <c r="G17" i="34"/>
  <c r="K17" i="34" s="1"/>
  <c r="J17" i="34"/>
  <c r="J18" i="34"/>
  <c r="L18" i="34"/>
  <c r="G18" i="34"/>
  <c r="K18" i="34" s="1"/>
  <c r="L16" i="34"/>
  <c r="L20" i="34" s="1"/>
  <c r="G16" i="34"/>
  <c r="J16" i="34"/>
  <c r="J10" i="34"/>
  <c r="L10" i="34"/>
  <c r="L14" i="34" s="1"/>
  <c r="G10" i="34"/>
  <c r="G14" i="34" s="1"/>
  <c r="AB5" i="14"/>
  <c r="AA6" i="14"/>
  <c r="Q14" i="40" l="1"/>
  <c r="S10" i="40"/>
  <c r="S14" i="40" s="1"/>
  <c r="Q20" i="40"/>
  <c r="S16" i="40"/>
  <c r="S20" i="40" s="1"/>
  <c r="Q16" i="38"/>
  <c r="M20" i="38"/>
  <c r="Q10" i="38"/>
  <c r="M14" i="38"/>
  <c r="Q16" i="36"/>
  <c r="M20" i="36"/>
  <c r="Q10" i="36"/>
  <c r="M14" i="36"/>
  <c r="K16" i="34"/>
  <c r="K20" i="34" s="1"/>
  <c r="G20" i="34"/>
  <c r="M18" i="34"/>
  <c r="Q18" i="34" s="1"/>
  <c r="S18" i="34" s="1"/>
  <c r="M16" i="34"/>
  <c r="M17" i="34"/>
  <c r="Q17" i="34" s="1"/>
  <c r="S17" i="34" s="1"/>
  <c r="K10" i="34"/>
  <c r="K14" i="34" s="1"/>
  <c r="AB6" i="14"/>
  <c r="AC5" i="14"/>
  <c r="Q14" i="38" l="1"/>
  <c r="S10" i="38"/>
  <c r="S14" i="38" s="1"/>
  <c r="Q20" i="38"/>
  <c r="S16" i="38"/>
  <c r="S20" i="38" s="1"/>
  <c r="Q14" i="36"/>
  <c r="S10" i="36"/>
  <c r="S14" i="36" s="1"/>
  <c r="Q20" i="36"/>
  <c r="S16" i="36"/>
  <c r="S20" i="36" s="1"/>
  <c r="Q16" i="34"/>
  <c r="M20" i="34"/>
  <c r="M10" i="34"/>
  <c r="M14" i="34" s="1"/>
  <c r="AC6" i="14"/>
  <c r="AD5" i="14"/>
  <c r="S16" i="34" l="1"/>
  <c r="S20" i="34" s="1"/>
  <c r="Q20" i="34"/>
  <c r="Q10" i="34"/>
  <c r="Q14" i="34" s="1"/>
  <c r="AD6" i="14"/>
  <c r="AE5" i="14"/>
  <c r="S10" i="34" l="1"/>
  <c r="S14" i="34" s="1"/>
  <c r="AF5" i="14"/>
  <c r="AE6" i="14"/>
  <c r="AF6" i="14" l="1"/>
  <c r="AG5" i="14"/>
  <c r="AH5" i="14" l="1"/>
  <c r="AG6" i="14"/>
  <c r="AI5" i="14" l="1"/>
  <c r="AH6" i="14"/>
  <c r="AJ5" i="14" l="1"/>
  <c r="AJ6" i="14" s="1"/>
  <c r="AI6" i="14"/>
  <c r="AK11" i="14" l="1"/>
  <c r="AM11" i="14"/>
  <c r="AM18" i="14"/>
  <c r="AK9" i="14"/>
  <c r="AK18" i="14"/>
  <c r="AM20" i="14"/>
  <c r="AK16" i="14"/>
  <c r="AK20" i="14"/>
  <c r="AM9" i="14"/>
  <c r="AM16" i="14"/>
  <c r="AM13" i="14"/>
  <c r="AK13" i="14"/>
  <c r="AN11" i="14" l="1"/>
  <c r="AN20" i="14"/>
  <c r="AN18" i="14"/>
  <c r="AN9" i="14"/>
  <c r="AN13" i="14"/>
  <c r="AN16" i="14"/>
</calcChain>
</file>

<file path=xl/sharedStrings.xml><?xml version="1.0" encoding="utf-8"?>
<sst xmlns="http://schemas.openxmlformats.org/spreadsheetml/2006/main" count="621" uniqueCount="187">
  <si>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</si>
  <si>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</si>
  <si>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</si>
  <si>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</si>
  <si>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</si>
  <si>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</si>
  <si>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</si>
  <si>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</si>
  <si>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</si>
  <si>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</si>
  <si>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</si>
  <si>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</si>
  <si>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</si>
  <si>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</si>
  <si>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</si>
  <si>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</si>
  <si>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</si>
  <si>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</si>
  <si>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</si>
  <si>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</si>
  <si>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</si>
  <si>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</si>
  <si>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</si>
  <si>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</si>
  <si>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</si>
  <si>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</si>
  <si>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</si>
  <si>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</si>
  <si>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</si>
  <si>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</si>
  <si>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</si>
  <si>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</si>
  <si>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</si>
  <si>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</si>
  <si>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</si>
  <si>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</si>
  <si>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</si>
  <si>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</si>
  <si>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</si>
  <si>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</si>
  <si>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</si>
  <si>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</si>
  <si>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</si>
  <si>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</si>
  <si>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</si>
  <si>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</si>
  <si>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</si>
  <si>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</si>
  <si>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</si>
  <si>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</si>
  <si>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</si>
  <si>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</si>
  <si>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</si>
  <si>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</si>
  <si>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</si>
  <si>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</si>
  <si>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</si>
  <si>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</si>
  <si>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</si>
  <si>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</si>
  <si>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</si>
  <si>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</si>
  <si>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</si>
  <si>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</si>
  <si>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</si>
  <si>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</si>
  <si>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</si>
  <si>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</si>
  <si>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</si>
  <si>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</si>
  <si>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</si>
  <si>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</si>
  <si>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</si>
  <si>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</si>
  <si>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</si>
  <si>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</si>
  <si>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</si>
  <si>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</si>
  <si>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</si>
  <si>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</si>
  <si>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</si>
  <si>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</si>
  <si>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</si>
  <si>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</si>
  <si>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</si>
  <si>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</si>
  <si>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</si>
  <si>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</si>
  <si>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</si>
  <si>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</si>
  <si>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</si>
  <si>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</si>
  <si>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</si>
  <si>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</si>
  <si>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</si>
  <si>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</si>
  <si>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</si>
  <si>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</si>
  <si>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</si>
  <si>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</si>
  <si>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</si>
  <si>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</si>
  <si>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</si>
  <si>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</si>
  <si>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</si>
  <si>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</si>
  <si>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</si>
  <si>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</si>
  <si>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</si>
  <si>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</si>
  <si>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</si>
  <si>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</si>
  <si>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</si>
  <si>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</si>
  <si>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</si>
  <si>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</si>
  <si>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</si>
  <si>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</si>
  <si>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</si>
  <si>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</si>
  <si>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</si>
  <si>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</si>
  <si>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</si>
  <si>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</si>
  <si>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</si>
  <si>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</si>
  <si>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</si>
  <si>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</si>
  <si>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</si>
  <si>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</si>
  <si>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</si>
  <si>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</si>
  <si>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</si>
  <si>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</si>
  <si>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</si>
  <si>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</si>
  <si>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</si>
  <si>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</si>
  <si>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</si>
  <si>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</si>
  <si>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</si>
  <si>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</si>
  <si>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</si>
  <si>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</si>
  <si>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</si>
  <si>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</si>
  <si>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</si>
  <si>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</si>
  <si>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</si>
  <si>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</si>
  <si>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</si>
  <si>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</si>
  <si>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</si>
  <si>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Công ty TNHH Hải sản An Lạc</t>
  </si>
  <si>
    <t>Địa chỉ: Lô A14, đường 4A, KCN Hải Sơn, Đức Hòa, Long An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</si>
  <si>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</si>
  <si>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</si>
  <si>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</si>
  <si>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</si>
  <si>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</si>
  <si>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</si>
  <si>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</si>
  <si>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</si>
  <si>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</si>
  <si>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CN02</t>
  </si>
  <si>
    <t>CN03</t>
  </si>
  <si>
    <t>CN04</t>
  </si>
  <si>
    <t>CN05</t>
  </si>
  <si>
    <t>CN06</t>
  </si>
  <si>
    <t>Lê Thị Dung</t>
  </si>
  <si>
    <t>Phan Văn Hiền</t>
  </si>
  <si>
    <t>Nguyễn Thị Thu Sương</t>
  </si>
  <si>
    <t>Giám Đốc</t>
  </si>
  <si>
    <t>Quản Đốc</t>
  </si>
  <si>
    <t>Kinh Doanh</t>
  </si>
  <si>
    <t>Nguyễn Trường Giang</t>
  </si>
  <si>
    <t>Trần Hữu Tình</t>
  </si>
  <si>
    <t>Trương Văn Thành</t>
  </si>
  <si>
    <t>Thợ in</t>
  </si>
  <si>
    <t>Đoàn Hồng Phong</t>
  </si>
  <si>
    <t>Thợ đóng - xả</t>
  </si>
  <si>
    <t>Trần Thị Ngọc Anh</t>
  </si>
  <si>
    <t>Nguyễn Minh Vương</t>
  </si>
  <si>
    <t>QL03</t>
  </si>
  <si>
    <t>BP: Quản lý :</t>
  </si>
  <si>
    <t>BP: Quản lý &amp; CN Trực Tiếp SX</t>
  </si>
  <si>
    <t>BP: Quản lý: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</si>
</sst>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2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u/>
      <sz val="10"/>
      <color indexed="12"/>
      <name val="Arial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8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74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1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10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2" applyFont="1" applyFill="1" applyBorder="1" applyAlignment="1">
      <alignment horizontal="center" vertical="center"/>
    </xf>
    <xf numFmtId="0" fontId="98" fillId="0" borderId="24" xfId="422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2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3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4" fillId="0" borderId="26" xfId="0" applyFont="1" applyBorder="1" applyAlignment="1">
      <alignment vertical="center"/>
    </xf>
    <xf numFmtId="169" fontId="115" fillId="0" borderId="0" xfId="337" applyNumberFormat="1" applyFont="1"/>
    <xf numFmtId="0" fontId="115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1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0" fillId="0" borderId="6" xfId="0" applyFont="1" applyFill="1" applyBorder="1" applyAlignment="1">
      <alignment horizontal="center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10" fillId="0" borderId="26" xfId="0" applyNumberFormat="1" applyFont="1" applyBorder="1" applyAlignment="1">
      <alignment horizontal="center"/>
    </xf>
    <xf numFmtId="0" fontId="117" fillId="0" borderId="26" xfId="0" applyNumberFormat="1" applyFont="1" applyBorder="1" applyAlignment="1">
      <alignment horizontal="center"/>
    </xf>
    <xf numFmtId="0" fontId="116" fillId="0" borderId="2" xfId="0" applyFont="1" applyBorder="1" applyAlignment="1">
      <alignment horizontal="center" vertical="center" wrapText="1"/>
    </xf>
    <xf numFmtId="169" fontId="118" fillId="0" borderId="0" xfId="337" applyNumberFormat="1" applyFont="1"/>
    <xf numFmtId="169" fontId="116" fillId="0" borderId="0" xfId="337" applyNumberFormat="1" applyFont="1"/>
    <xf numFmtId="0" fontId="116" fillId="0" borderId="0" xfId="0" applyFont="1"/>
    <xf numFmtId="0" fontId="116" fillId="0" borderId="2" xfId="0" applyFont="1" applyFill="1" applyBorder="1" applyAlignment="1">
      <alignment horizontal="left" vertical="center" wrapText="1"/>
    </xf>
    <xf numFmtId="0" fontId="119" fillId="0" borderId="0" xfId="0" applyFont="1" applyFill="1" applyBorder="1" applyAlignment="1">
      <alignment horizontal="center" vertical="center"/>
    </xf>
    <xf numFmtId="0" fontId="120" fillId="0" borderId="2" xfId="0" applyFont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left" vertical="center"/>
    </xf>
    <xf numFmtId="169" fontId="120" fillId="0" borderId="2" xfId="337" applyNumberFormat="1" applyFont="1" applyBorder="1" applyAlignment="1">
      <alignment horizontal="center" vertical="center" wrapText="1"/>
    </xf>
    <xf numFmtId="169" fontId="121" fillId="0" borderId="0" xfId="337" applyNumberFormat="1" applyFont="1"/>
    <xf numFmtId="169" fontId="120" fillId="0" borderId="0" xfId="337" applyNumberFormat="1" applyFont="1"/>
    <xf numFmtId="0" fontId="120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9" fillId="0" borderId="0" xfId="0" applyNumberFormat="1" applyFont="1" applyFill="1" applyBorder="1" applyAlignment="1">
      <alignment horizontal="center" vertical="center"/>
    </xf>
    <xf numFmtId="169" fontId="116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0" fontId="98" fillId="0" borderId="14" xfId="422" applyNumberFormat="1" applyFont="1" applyFill="1" applyBorder="1" applyAlignment="1">
      <alignment horizontal="center" vertical="center" wrapText="1"/>
    </xf>
    <xf numFmtId="0" fontId="98" fillId="0" borderId="28" xfId="422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2" applyNumberFormat="1" applyFont="1" applyFill="1" applyBorder="1" applyAlignment="1">
      <alignment horizontal="left" vertical="center"/>
    </xf>
    <xf numFmtId="0" fontId="98" fillId="0" borderId="28" xfId="422" applyNumberFormat="1" applyFont="1" applyFill="1" applyBorder="1" applyAlignment="1">
      <alignment horizontal="left" vertical="center"/>
    </xf>
    <xf numFmtId="0" fontId="100" fillId="0" borderId="6" xfId="0" applyFont="1" applyFill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23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</cellXfs>
  <cellStyles count="608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Hyperlink_BANG CHAM CONG" xfId="388"/>
    <cellStyle name="i·0" xfId="389"/>
    <cellStyle name="Îáû÷íûé_ÏÄÍÃ" xfId="390"/>
    <cellStyle name="Input" xfId="391" builtinId="20" customBuiltin="1"/>
    <cellStyle name="Input [yellow]" xfId="392"/>
    <cellStyle name="k" xfId="393"/>
    <cellStyle name="khanh" xfId="394"/>
    <cellStyle name="khoa2" xfId="395"/>
    <cellStyle name="kien1" xfId="396"/>
    <cellStyle name="Link Currency (0)" xfId="397"/>
    <cellStyle name="Link Currency (2)" xfId="398"/>
    <cellStyle name="Link Units (0)" xfId="399"/>
    <cellStyle name="Link Units (1)" xfId="400"/>
    <cellStyle name="Link Units (2)" xfId="401"/>
    <cellStyle name="Linked Cell" xfId="402" builtinId="24" customBuiltin="1"/>
    <cellStyle name="luc" xfId="403"/>
    <cellStyle name="luc2" xfId="404"/>
    <cellStyle name="Millares [0]_Well Timing" xfId="405"/>
    <cellStyle name="Millares_Well Timing" xfId="406"/>
    <cellStyle name="Môc" xfId="407"/>
    <cellStyle name="Model" xfId="408"/>
    <cellStyle name="Moneda [0]_Well Timing" xfId="409"/>
    <cellStyle name="Moneda_Well Timing" xfId="410"/>
    <cellStyle name="Monétaire [0]_TARIFFS DB" xfId="411"/>
    <cellStyle name="Monétaire_TARIFFS DB" xfId="412"/>
    <cellStyle name="n" xfId="413"/>
    <cellStyle name="n1" xfId="414"/>
    <cellStyle name="Neutral" xfId="415" builtinId="28" customBuiltin="1"/>
    <cellStyle name="New Times Roman" xfId="416"/>
    <cellStyle name="no dec" xfId="417"/>
    <cellStyle name="Non défini" xfId="418"/>
    <cellStyle name="Normal" xfId="0" builtinId="0"/>
    <cellStyle name="Normal - Style1" xfId="419"/>
    <cellStyle name="Normal 2" xfId="420"/>
    <cellStyle name="Normal_Book1" xfId="421"/>
    <cellStyle name="Normal_Sheet1" xfId="422"/>
    <cellStyle name="Normal1" xfId="423"/>
    <cellStyle name="Note" xfId="424" builtinId="10" customBuiltin="1"/>
    <cellStyle name="omma [0]_Mktg Prog" xfId="425"/>
    <cellStyle name="ormal_Sheet1_1" xfId="426"/>
    <cellStyle name="Output" xfId="427" builtinId="21" customBuiltin="1"/>
    <cellStyle name="Percent [0]" xfId="428"/>
    <cellStyle name="Percent [00]" xfId="429"/>
    <cellStyle name="Percent [2]" xfId="430"/>
    <cellStyle name="PrePop Currency (0)" xfId="431"/>
    <cellStyle name="PrePop Currency (2)" xfId="432"/>
    <cellStyle name="PrePop Units (0)" xfId="433"/>
    <cellStyle name="PrePop Units (1)" xfId="434"/>
    <cellStyle name="PrePop Units (2)" xfId="435"/>
    <cellStyle name="S—_x0008_" xfId="436"/>
    <cellStyle name="s1" xfId="437"/>
    <cellStyle name="Style 1" xfId="438"/>
    <cellStyle name="Style 10" xfId="439"/>
    <cellStyle name="Style 11" xfId="440"/>
    <cellStyle name="Style 12" xfId="441"/>
    <cellStyle name="Style 13" xfId="442"/>
    <cellStyle name="Style 14" xfId="443"/>
    <cellStyle name="Style 15" xfId="444"/>
    <cellStyle name="Style 16" xfId="445"/>
    <cellStyle name="Style 17" xfId="446"/>
    <cellStyle name="Style 18" xfId="447"/>
    <cellStyle name="Style 19" xfId="448"/>
    <cellStyle name="Style 2" xfId="449"/>
    <cellStyle name="Style 20" xfId="450"/>
    <cellStyle name="Style 21" xfId="451"/>
    <cellStyle name="Style 22" xfId="452"/>
    <cellStyle name="Style 23" xfId="453"/>
    <cellStyle name="Style 24" xfId="454"/>
    <cellStyle name="Style 25" xfId="455"/>
    <cellStyle name="Style 26" xfId="456"/>
    <cellStyle name="Style 27" xfId="457"/>
    <cellStyle name="Style 28" xfId="458"/>
    <cellStyle name="Style 29" xfId="459"/>
    <cellStyle name="Style 3" xfId="460"/>
    <cellStyle name="Style 30" xfId="461"/>
    <cellStyle name="Style 31" xfId="462"/>
    <cellStyle name="Style 32" xfId="463"/>
    <cellStyle name="Style 33" xfId="464"/>
    <cellStyle name="Style 34" xfId="465"/>
    <cellStyle name="Style 35" xfId="466"/>
    <cellStyle name="Style 36" xfId="467"/>
    <cellStyle name="Style 37" xfId="468"/>
    <cellStyle name="Style 38" xfId="469"/>
    <cellStyle name="Style 39" xfId="470"/>
    <cellStyle name="Style 4" xfId="471"/>
    <cellStyle name="Style 40" xfId="472"/>
    <cellStyle name="Style 41" xfId="473"/>
    <cellStyle name="Style 42" xfId="474"/>
    <cellStyle name="Style 43" xfId="475"/>
    <cellStyle name="Style 5" xfId="476"/>
    <cellStyle name="Style 6" xfId="477"/>
    <cellStyle name="Style 7" xfId="478"/>
    <cellStyle name="Style 8" xfId="479"/>
    <cellStyle name="Style 9" xfId="480"/>
    <cellStyle name="subhead" xfId="481"/>
    <cellStyle name="T" xfId="482"/>
    <cellStyle name="T_01 DUNGTIEN BIEU SX KINH DOANH" xfId="483"/>
    <cellStyle name="T_01 modul tvql 06 08 09" xfId="484"/>
    <cellStyle name="T_01 modul tvql 06 08 09_J&amp;J BCC+BL 082011 v2" xfId="485"/>
    <cellStyle name="T_01 modul tvql 06 08 09_thaotuan luong 102011 v2" xfId="486"/>
    <cellStyle name="T_Book1" xfId="487"/>
    <cellStyle name="T_Book1_01 DUNGTIEN BIEU SX KINH DOANH" xfId="488"/>
    <cellStyle name="T_Book1_01 modul tvql 06 08 09" xfId="489"/>
    <cellStyle name="T_Book1_01 modul tvql 06 08 09_DA - BL 062011 (new)" xfId="490"/>
    <cellStyle name="T_Book1_01 modul tvql 06 08 09_thaotuan luong 102011" xfId="491"/>
    <cellStyle name="T_Book1_01 modul tvql 06 08 09_thaotuan luong 102011 v2" xfId="492"/>
    <cellStyle name="T_Book1_DA - BL 062011 (new)" xfId="493"/>
    <cellStyle name="T_Book1_DAINAM" xfId="494"/>
    <cellStyle name="T_Book1_DAINAM_DA - BL 062011 (new)" xfId="495"/>
    <cellStyle name="T_Book1_DAINAM_thaotuan luong 102011" xfId="496"/>
    <cellStyle name="T_Book1_DAINAM_thaotuan luong 102011 v2" xfId="497"/>
    <cellStyle name="T_Book1_DSKH" xfId="498"/>
    <cellStyle name="T_Book1_DSKH_J&amp;J BCC+BL 082011 v2" xfId="499"/>
    <cellStyle name="T_Book1_DSKH_thaotuan luong 102011 v2" xfId="500"/>
    <cellStyle name="T_Book1_DUNG TIEN" xfId="501"/>
    <cellStyle name="T_Book1_DUNG TIEN MAUKETOAN" xfId="502"/>
    <cellStyle name="T_Book1_DUNG TIEN MAUKETOAN_J&amp;J BCC+BL 082011 v2" xfId="503"/>
    <cellStyle name="T_Book1_DUNG TIEN MAUKETOAN_thaotuan luong 102011 v2" xfId="504"/>
    <cellStyle name="T_Book1_DUNG TIEN_DA - BL 062011 (new)" xfId="505"/>
    <cellStyle name="T_Book1_DUNG TIEN_thaotuan luong 102011" xfId="506"/>
    <cellStyle name="T_Book1_DUNG TIEN_thaotuan luong 102011 v2" xfId="507"/>
    <cellStyle name="T_Book1_hiep thanh bao gia thang 2008" xfId="508"/>
    <cellStyle name="T_Book1_hiep thanh bao gia thang 2008_DA - BL 062011 (new)" xfId="509"/>
    <cellStyle name="T_Book1_hiep thanh bao gia thang 2008_thaotuan luong 102011" xfId="510"/>
    <cellStyle name="T_Book1_hiep thanh bao gia thang 2008_thaotuan luong 102011 v2" xfId="511"/>
    <cellStyle name="T_Book1_NS DANH MUC  CONGVIEC" xfId="512"/>
    <cellStyle name="T_Book1_NS DANH MUC  CONGVIEC_DA - BL 062011 (new)" xfId="513"/>
    <cellStyle name="T_Book1_NS DANH MUC  CONGVIEC_thaotuan luong 102011" xfId="514"/>
    <cellStyle name="T_Book1_NS DANH MUC  CONGVIEC_thaotuan luong 102011 v2" xfId="515"/>
    <cellStyle name="T_Book1_thaotuan luong 102011" xfId="516"/>
    <cellStyle name="T_Book1_thaotuan luong 102011 v2" xfId="517"/>
    <cellStyle name="T_Book1_VIVA SO QUY 2009" xfId="518"/>
    <cellStyle name="T_Book1_VIVA SO QUY 2009_J&amp;J BCC+BL 082011 v2" xfId="519"/>
    <cellStyle name="T_Book1_VIVA SO QUY 2009_thaotuan luong 102011 v2" xfId="520"/>
    <cellStyle name="T_Copy of VT - BHXH-Q.Phu Nhuan" xfId="521"/>
    <cellStyle name="T_Copy of VT - BHXH-Q.Phu Nhuan_DA - BL 062011 (new)" xfId="522"/>
    <cellStyle name="T_Copy of VT - BHXH-Q.Phu Nhuan_thaotuan luong 102011" xfId="523"/>
    <cellStyle name="T_Copy of VT - BHXH-Q.Phu Nhuan_thaotuan luong 102011 v2" xfId="524"/>
    <cellStyle name="T_DAINAM" xfId="525"/>
    <cellStyle name="T_DAINAM_J&amp;J BCC+BL 082011 v2" xfId="526"/>
    <cellStyle name="T_DAINAM_thaotuan luong 102011 v2" xfId="527"/>
    <cellStyle name="T_DSKH" xfId="528"/>
    <cellStyle name="T_DSKH_DA - BL 062011 (new)" xfId="529"/>
    <cellStyle name="T_DSKH_thaotuan luong 102011" xfId="530"/>
    <cellStyle name="T_DSKH_thaotuan luong 102011 v2" xfId="531"/>
    <cellStyle name="T_DUNG TIEN" xfId="532"/>
    <cellStyle name="T_DUNG TIEN MAUKETOAN" xfId="533"/>
    <cellStyle name="T_DUNG TIEN MAUKETOAN_DA - BL 062011 (new)" xfId="534"/>
    <cellStyle name="T_DUNG TIEN MAUKETOAN_thaotuan luong 102011" xfId="535"/>
    <cellStyle name="T_DUNG TIEN MAUKETOAN_thaotuan luong 102011 v2" xfId="536"/>
    <cellStyle name="T_DUNG TIEN_J&amp;J BCC+BL 082011 v2" xfId="537"/>
    <cellStyle name="T_DUNG TIEN_thaotuan luong 102011 v2" xfId="538"/>
    <cellStyle name="T_hiep thanh bao gia thang 2008" xfId="539"/>
    <cellStyle name="T_hiep thanh bao gia thang 2008_J&amp;J BCC+BL 082011 v2" xfId="540"/>
    <cellStyle name="T_hiep thanh bao gia thang 2008_thaotuan luong 102011 v2" xfId="541"/>
    <cellStyle name="T_HNC- BHXH quy 4-07" xfId="542"/>
    <cellStyle name="T_HNC- BHXH quy 4-07_DA - BL 062011 (new)" xfId="543"/>
    <cellStyle name="T_HNC- BHXH quy 4-07_thaotuan luong 102011" xfId="544"/>
    <cellStyle name="T_HNC- BHXH quy 4-07_thaotuan luong 102011 v2" xfId="545"/>
    <cellStyle name="T_J&amp;J BCC+BL 082011 v2" xfId="546"/>
    <cellStyle name="T_NS DANH MUC  CONGVIEC" xfId="547"/>
    <cellStyle name="T_NS DANH MUC  CONGVIEC_J&amp;J BCC+BL 082011 v2" xfId="548"/>
    <cellStyle name="T_NS DANH MUC  CONGVIEC_thaotuan luong 102011 v2" xfId="549"/>
    <cellStyle name="T_thaotuan luong 102011 v2" xfId="550"/>
    <cellStyle name="T_VIVA SO QUY 2009" xfId="551"/>
    <cellStyle name="T_VIVA SO QUY 2009_DA - BL 062011 (new)" xfId="552"/>
    <cellStyle name="T_VIVA SO QUY 2009_thaotuan luong 102011" xfId="553"/>
    <cellStyle name="T_VIVA SO QUY 2009_thaotuan luong 102011 v2" xfId="554"/>
    <cellStyle name="tde" xfId="555"/>
    <cellStyle name="Text Indent A" xfId="556"/>
    <cellStyle name="Text Indent B" xfId="557"/>
    <cellStyle name="Text Indent C" xfId="558"/>
    <cellStyle name="th" xfId="559"/>
    <cellStyle name="þ_x001d_ð¤_x000c_¯þ_x0014__x000d_¨þU_x0001_À_x0004_ _x0015__x000f__x0001__x0001_" xfId="560"/>
    <cellStyle name="Tiªu ®Ì" xfId="561"/>
    <cellStyle name="Times New Roman" xfId="562"/>
    <cellStyle name="TiÓu môc" xfId="563"/>
    <cellStyle name="Title" xfId="564" builtinId="15" customBuiltin="1"/>
    <cellStyle name="Total" xfId="565" builtinId="25" customBuiltin="1"/>
    <cellStyle name="Tusental (0)_pldt" xfId="566"/>
    <cellStyle name="Tusental_pldt" xfId="567"/>
    <cellStyle name="Valuta (0)_pldt" xfId="568"/>
    <cellStyle name="Valuta_pldt" xfId="569"/>
    <cellStyle name="viet" xfId="570"/>
    <cellStyle name="viet2" xfId="571"/>
    <cellStyle name="vntxt2" xfId="572"/>
    <cellStyle name="Währung [0]_UXO VII" xfId="573"/>
    <cellStyle name="Währung_UXO VII" xfId="574"/>
    <cellStyle name="Warning Text" xfId="575" builtinId="11" customBuiltin="1"/>
    <cellStyle name="xuan" xfId="576"/>
    <cellStyle name="Обычный_Elec-12 Fin" xfId="577"/>
    <cellStyle name="เครื่องหมายสกุลเงิน [0]_FTC_OFFER" xfId="578"/>
    <cellStyle name="เครื่องหมายสกุลเงิน_FTC_OFFER" xfId="579"/>
    <cellStyle name="ปกติ_FTC_OFFER" xfId="580"/>
    <cellStyle name=" [0.00]_ Att. 1- Cover" xfId="605"/>
    <cellStyle name="_ Att. 1- Cover" xfId="606"/>
    <cellStyle name="?_ Att. 1- Cover" xfId="607"/>
    <cellStyle name="똿뗦먛귟 [0.00]_PRODUCT DETAIL Q1" xfId="581"/>
    <cellStyle name="똿뗦먛귟_PRODUCT DETAIL Q1" xfId="582"/>
    <cellStyle name="믅됞 [0.00]_PRODUCT DETAIL Q1" xfId="583"/>
    <cellStyle name="믅됞_PRODUCT DETAIL Q1" xfId="584"/>
    <cellStyle name="백분율_95" xfId="585"/>
    <cellStyle name="뷭?_BOOKSHIP" xfId="586"/>
    <cellStyle name="쉼표 [0]_PCS-3~1" xfId="587"/>
    <cellStyle name="쉼표_EQ_ROOM cost" xfId="588"/>
    <cellStyle name="콤마 [0]_ 비목별 월별기술 " xfId="592"/>
    <cellStyle name="콤마_ 비목별 월별기술 " xfId="593"/>
    <cellStyle name="통화 [0]_1202" xfId="594"/>
    <cellStyle name="통화_1202" xfId="595"/>
    <cellStyle name="표준_(정보부문)월별인원계획" xfId="596"/>
    <cellStyle name="一般_00Q3902REV.1" xfId="589"/>
    <cellStyle name="千分位[0]_00Q3902REV.1" xfId="590"/>
    <cellStyle name="千分位_00Q3902REV.1" xfId="591"/>
    <cellStyle name="桁区切り [0.00]_List-dwg瑩畳䵜楡" xfId="597"/>
    <cellStyle name="桁区切り_List-dwgist-" xfId="598"/>
    <cellStyle name="標準_List-dwgis" xfId="599"/>
    <cellStyle name="貨幣 [0]_00Q3902REV.1" xfId="600"/>
    <cellStyle name="貨幣[0]_BRE" xfId="601"/>
    <cellStyle name="貨幣_00Q3902REV.1" xfId="602"/>
    <cellStyle name="通貨 [0.00]_List-dwgwg" xfId="603"/>
    <cellStyle name="通貨_List-dwgis" xfId="604"/>
  </cellStyles>
  <dxfs count="80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10"/>
  <sheetViews>
    <sheetView topLeftCell="A8" workbookViewId="0">
      <pane ySplit="3" topLeftCell="A11" activePane="bottomLeft" state="frozen"/>
      <selection activeCell="A8" sqref="A8"/>
      <selection pane="bottomLeft" activeCell="E16" sqref="E16:E19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8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153</v>
      </c>
    </row>
    <row r="2" spans="1:26" ht="15">
      <c r="A2" s="1" t="s">
        <v>154</v>
      </c>
    </row>
    <row r="3" spans="1:26" ht="15">
      <c r="A3" s="1"/>
    </row>
    <row r="4" spans="1:26">
      <c r="A4" s="109"/>
      <c r="B4" s="109"/>
    </row>
    <row r="5" spans="1:26" ht="23.25" customHeight="1">
      <c r="A5" s="222" t="s">
        <v>35</v>
      </c>
      <c r="B5" s="222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2"/>
    </row>
    <row r="6" spans="1:26" ht="23.25" customHeight="1">
      <c r="A6" s="223" t="str">
        <f>"Tháng "&amp;'CC -5'!C4&amp;" năm 2011"</f>
        <v>Tháng  năm 2011</v>
      </c>
      <c r="B6" s="223"/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224" t="s">
        <v>19</v>
      </c>
      <c r="B8" s="224" t="s">
        <v>3</v>
      </c>
      <c r="C8" s="224" t="s">
        <v>1</v>
      </c>
      <c r="D8" s="224" t="s">
        <v>2</v>
      </c>
      <c r="E8" s="227" t="s">
        <v>56</v>
      </c>
      <c r="F8" s="227"/>
      <c r="G8" s="227" t="s">
        <v>36</v>
      </c>
      <c r="H8" s="227"/>
      <c r="I8" s="227" t="s">
        <v>24</v>
      </c>
      <c r="J8" s="227" t="s">
        <v>33</v>
      </c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5" t="s">
        <v>39</v>
      </c>
      <c r="W8" s="225" t="s">
        <v>23</v>
      </c>
      <c r="X8" s="225" t="s">
        <v>11</v>
      </c>
      <c r="Y8" s="107"/>
      <c r="Z8" s="107"/>
    </row>
    <row r="9" spans="1:26" s="1" customFormat="1" ht="20.25" customHeight="1">
      <c r="A9" s="224"/>
      <c r="B9" s="224"/>
      <c r="C9" s="224"/>
      <c r="D9" s="224"/>
      <c r="E9" s="173" t="s">
        <v>159</v>
      </c>
      <c r="F9" s="173">
        <v>2015</v>
      </c>
      <c r="G9" s="172" t="s">
        <v>57</v>
      </c>
      <c r="H9" s="172" t="s">
        <v>38</v>
      </c>
      <c r="I9" s="227"/>
      <c r="J9" s="172" t="s">
        <v>105</v>
      </c>
      <c r="K9" s="172" t="s">
        <v>106</v>
      </c>
      <c r="L9" s="172" t="s">
        <v>107</v>
      </c>
      <c r="M9" s="172" t="s">
        <v>108</v>
      </c>
      <c r="N9" s="172" t="s">
        <v>109</v>
      </c>
      <c r="O9" s="172" t="s">
        <v>110</v>
      </c>
      <c r="P9" s="172" t="s">
        <v>111</v>
      </c>
      <c r="Q9" s="172" t="s">
        <v>112</v>
      </c>
      <c r="R9" s="172" t="s">
        <v>113</v>
      </c>
      <c r="S9" s="172" t="s">
        <v>114</v>
      </c>
      <c r="T9" s="172" t="s">
        <v>115</v>
      </c>
      <c r="U9" s="172" t="s">
        <v>116</v>
      </c>
      <c r="V9" s="226"/>
      <c r="W9" s="226"/>
      <c r="X9" s="226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161" customFormat="1" ht="21.75" customHeight="1">
      <c r="A11" s="158">
        <f>IF(B11&lt;&gt;"",ROW()-10,"")</f>
        <v>1</v>
      </c>
      <c r="B11" s="158" t="s">
        <v>161</v>
      </c>
      <c r="C11" s="162" t="s">
        <v>169</v>
      </c>
      <c r="D11" s="158" t="s">
        <v>172</v>
      </c>
      <c r="E11" s="191">
        <v>2500000</v>
      </c>
      <c r="F11" s="153"/>
      <c r="G11" s="153">
        <v>390000</v>
      </c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9"/>
      <c r="Z11" s="160"/>
    </row>
    <row r="12" spans="1:26" s="161" customFormat="1" ht="21.75" customHeight="1">
      <c r="A12" s="158">
        <f t="shared" ref="A12:A21" si="0">IF(B12&lt;&gt;"",ROW()-10,"")</f>
        <v>2</v>
      </c>
      <c r="B12" s="158" t="s">
        <v>162</v>
      </c>
      <c r="C12" s="162" t="s">
        <v>170</v>
      </c>
      <c r="D12" s="158" t="s">
        <v>173</v>
      </c>
      <c r="E12" s="191">
        <v>2000000</v>
      </c>
      <c r="F12" s="153"/>
      <c r="G12" s="153">
        <v>390000</v>
      </c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9"/>
      <c r="Z12" s="160"/>
    </row>
    <row r="13" spans="1:26" s="161" customFormat="1" ht="21.75" customHeight="1">
      <c r="A13" s="158">
        <f t="shared" si="0"/>
        <v>3</v>
      </c>
      <c r="B13" s="158" t="s">
        <v>183</v>
      </c>
      <c r="C13" s="162" t="s">
        <v>171</v>
      </c>
      <c r="D13" s="158" t="s">
        <v>174</v>
      </c>
      <c r="E13" s="191">
        <v>2000000</v>
      </c>
      <c r="F13" s="153"/>
      <c r="G13" s="153">
        <v>390000</v>
      </c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9"/>
      <c r="Z13" s="160"/>
    </row>
    <row r="14" spans="1:26" s="170" customFormat="1" ht="21.75" customHeight="1">
      <c r="A14" s="164">
        <f t="shared" si="0"/>
        <v>4</v>
      </c>
      <c r="B14" s="165" t="s">
        <v>163</v>
      </c>
      <c r="C14" s="166" t="s">
        <v>175</v>
      </c>
      <c r="D14" s="164" t="s">
        <v>178</v>
      </c>
      <c r="E14" s="167">
        <v>1800000</v>
      </c>
      <c r="F14" s="167"/>
      <c r="G14" s="167">
        <v>390000</v>
      </c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8"/>
      <c r="Z14" s="169"/>
    </row>
    <row r="15" spans="1:26" s="170" customFormat="1" ht="21.75" customHeight="1">
      <c r="A15" s="164">
        <f t="shared" si="0"/>
        <v>5</v>
      </c>
      <c r="B15" s="165" t="s">
        <v>164</v>
      </c>
      <c r="C15" s="166" t="s">
        <v>179</v>
      </c>
      <c r="D15" s="164" t="s">
        <v>180</v>
      </c>
      <c r="E15" s="167">
        <v>1800000</v>
      </c>
      <c r="F15" s="167"/>
      <c r="G15" s="167">
        <v>390000</v>
      </c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8"/>
      <c r="Z15" s="169"/>
    </row>
    <row r="16" spans="1:26" s="170" customFormat="1" ht="21.75" customHeight="1">
      <c r="A16" s="164">
        <f t="shared" si="0"/>
        <v>6</v>
      </c>
      <c r="B16" s="165" t="s">
        <v>165</v>
      </c>
      <c r="C16" s="166" t="s">
        <v>176</v>
      </c>
      <c r="D16" s="164" t="s">
        <v>88</v>
      </c>
      <c r="E16" s="167">
        <v>1500000</v>
      </c>
      <c r="F16" s="167"/>
      <c r="G16" s="167">
        <v>390000</v>
      </c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8"/>
      <c r="Z16" s="169"/>
    </row>
    <row r="17" spans="1:26" s="170" customFormat="1" ht="21.75" customHeight="1">
      <c r="A17" s="158">
        <f t="shared" si="0"/>
        <v>7</v>
      </c>
      <c r="B17" s="165" t="s">
        <v>166</v>
      </c>
      <c r="C17" s="166" t="s">
        <v>177</v>
      </c>
      <c r="D17" s="164" t="s">
        <v>88</v>
      </c>
      <c r="E17" s="167">
        <v>1500000</v>
      </c>
      <c r="F17" s="167"/>
      <c r="G17" s="167">
        <v>390000</v>
      </c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8"/>
      <c r="Z17" s="169"/>
    </row>
    <row r="18" spans="1:26" s="170" customFormat="1" ht="21.75" customHeight="1">
      <c r="A18" s="158">
        <f t="shared" si="0"/>
        <v>8</v>
      </c>
      <c r="B18" s="165" t="s">
        <v>167</v>
      </c>
      <c r="C18" s="166" t="s">
        <v>181</v>
      </c>
      <c r="D18" s="164" t="s">
        <v>88</v>
      </c>
      <c r="E18" s="167">
        <v>1500000</v>
      </c>
      <c r="F18" s="167"/>
      <c r="G18" s="167">
        <v>390000</v>
      </c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8"/>
      <c r="Z18" s="169"/>
    </row>
    <row r="19" spans="1:26" s="170" customFormat="1" ht="21.75" customHeight="1">
      <c r="A19" s="158">
        <f t="shared" si="0"/>
        <v>9</v>
      </c>
      <c r="B19" s="165" t="s">
        <v>168</v>
      </c>
      <c r="C19" s="166" t="s">
        <v>182</v>
      </c>
      <c r="D19" s="164" t="s">
        <v>88</v>
      </c>
      <c r="E19" s="167">
        <v>1500000</v>
      </c>
      <c r="F19" s="167"/>
      <c r="G19" s="167">
        <v>390000</v>
      </c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8"/>
      <c r="Z19" s="169"/>
    </row>
    <row r="20" spans="1:26" ht="21.75" customHeight="1">
      <c r="A20" s="158" t="str">
        <f t="shared" si="0"/>
        <v/>
      </c>
      <c r="B20" s="17"/>
      <c r="C20" s="53"/>
      <c r="D20" s="141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07"/>
    </row>
    <row r="21" spans="1:26" ht="21.75" customHeight="1">
      <c r="A21" s="158" t="str">
        <f t="shared" si="0"/>
        <v/>
      </c>
      <c r="B21" s="142"/>
      <c r="C21" s="150"/>
      <c r="D21" s="149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07"/>
    </row>
    <row r="22" spans="1:26" ht="21.75" customHeight="1">
      <c r="A22" s="216" t="s">
        <v>25</v>
      </c>
      <c r="B22" s="217"/>
      <c r="C22" s="217"/>
      <c r="D22" s="155" t="s">
        <v>135</v>
      </c>
      <c r="E22" s="152">
        <f>SUM(E11:E21)</f>
        <v>16100000</v>
      </c>
      <c r="F22" s="152">
        <f>SUM(F11:F21)</f>
        <v>0</v>
      </c>
      <c r="G22" s="152">
        <f>SUM(G11:G21)</f>
        <v>3510000</v>
      </c>
      <c r="H22" s="152">
        <f>SUM(H11:H21)</f>
        <v>0</v>
      </c>
      <c r="I22" s="152"/>
      <c r="J22" s="152">
        <f t="shared" ref="J22:U22" si="1">SUMIF(J$11:J$21,"x",$E$11:$E$21)</f>
        <v>0</v>
      </c>
      <c r="K22" s="152">
        <f t="shared" si="1"/>
        <v>0</v>
      </c>
      <c r="L22" s="152">
        <f t="shared" si="1"/>
        <v>0</v>
      </c>
      <c r="M22" s="152">
        <f t="shared" si="1"/>
        <v>0</v>
      </c>
      <c r="N22" s="152">
        <f t="shared" si="1"/>
        <v>0</v>
      </c>
      <c r="O22" s="152">
        <f t="shared" si="1"/>
        <v>0</v>
      </c>
      <c r="P22" s="152">
        <f t="shared" si="1"/>
        <v>0</v>
      </c>
      <c r="Q22" s="152">
        <f t="shared" si="1"/>
        <v>0</v>
      </c>
      <c r="R22" s="152">
        <f t="shared" si="1"/>
        <v>0</v>
      </c>
      <c r="S22" s="152">
        <f t="shared" si="1"/>
        <v>0</v>
      </c>
      <c r="T22" s="152">
        <f t="shared" si="1"/>
        <v>0</v>
      </c>
      <c r="U22" s="152">
        <f t="shared" si="1"/>
        <v>0</v>
      </c>
      <c r="V22" s="152"/>
      <c r="W22" s="152"/>
      <c r="X22" s="152"/>
      <c r="Y22" s="107"/>
    </row>
    <row r="23" spans="1:26" ht="21.75" customHeight="1">
      <c r="A23" s="218"/>
      <c r="B23" s="219"/>
      <c r="C23" s="219"/>
      <c r="D23" s="155" t="s">
        <v>136</v>
      </c>
      <c r="E23" s="152"/>
      <c r="F23" s="152"/>
      <c r="G23" s="152"/>
      <c r="H23" s="152"/>
      <c r="I23" s="152"/>
      <c r="J23" s="152">
        <f t="array" ref="J23">SUM((J$11:J$21="x")*1)</f>
        <v>0</v>
      </c>
      <c r="K23" s="152">
        <f t="array" ref="K23">SUM((K$11:K$21="x")*1)</f>
        <v>0</v>
      </c>
      <c r="L23" s="152">
        <f t="array" ref="L23">SUM((L$11:L$21="x")*1)</f>
        <v>0</v>
      </c>
      <c r="M23" s="152">
        <f t="array" ref="M23">SUM((M$11:M$21="x")*1)</f>
        <v>0</v>
      </c>
      <c r="N23" s="152">
        <f t="array" ref="N23">SUM((N$11:N$21="x")*1)</f>
        <v>0</v>
      </c>
      <c r="O23" s="152">
        <f t="array" ref="O23">SUM((O$11:O$21="x")*1)</f>
        <v>0</v>
      </c>
      <c r="P23" s="152">
        <f t="array" ref="P23">SUM((P$11:P$21="x")*1)</f>
        <v>0</v>
      </c>
      <c r="Q23" s="152">
        <f t="array" ref="Q23">SUM((Q$11:Q$21="x")*1)</f>
        <v>0</v>
      </c>
      <c r="R23" s="152">
        <f t="array" ref="R23">SUM((R$11:R$21="x")*1)</f>
        <v>0</v>
      </c>
      <c r="S23" s="152">
        <f t="array" ref="S23">SUM((S$11:S$21="x")*1)</f>
        <v>0</v>
      </c>
      <c r="T23" s="152">
        <f t="array" ref="T23">SUM((T$11:T$21="x")*1)</f>
        <v>0</v>
      </c>
      <c r="U23" s="152">
        <f t="array" ref="U23">SUM((U$11:U$21="x")*1)</f>
        <v>0</v>
      </c>
      <c r="V23" s="152"/>
      <c r="W23" s="152"/>
      <c r="X23" s="152"/>
      <c r="Y23" s="107"/>
    </row>
    <row r="24" spans="1:26" ht="21.75" customHeight="1">
      <c r="A24" s="220"/>
      <c r="B24" s="221"/>
      <c r="C24" s="221"/>
      <c r="D24" s="155" t="s">
        <v>137</v>
      </c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07"/>
    </row>
    <row r="25" spans="1:26" ht="11.25" customHeight="1">
      <c r="A25" s="19"/>
      <c r="B25" s="19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</row>
    <row r="26" spans="1:26" ht="11.25" customHeight="1">
      <c r="A26" s="19"/>
      <c r="B26" s="19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108" t="s">
        <v>55</v>
      </c>
      <c r="X26" s="78"/>
    </row>
    <row r="27" spans="1:26" ht="16.5" customHeight="1">
      <c r="A27" s="19"/>
      <c r="B27" s="19"/>
      <c r="C27" s="20" t="s">
        <v>14</v>
      </c>
      <c r="D27" s="21"/>
      <c r="E27" s="22"/>
      <c r="F27" s="30"/>
      <c r="G27" s="30"/>
      <c r="H27" s="30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49" t="s">
        <v>22</v>
      </c>
      <c r="X27" s="49"/>
    </row>
    <row r="28" spans="1:26" ht="11.25" customHeight="1">
      <c r="A28" s="19"/>
      <c r="B28" s="19"/>
      <c r="C28" s="20"/>
      <c r="D28" s="21"/>
      <c r="E28" s="22">
        <f>3317000*0.105</f>
        <v>348285</v>
      </c>
      <c r="F28" s="30"/>
      <c r="G28" s="30"/>
      <c r="H28" s="30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49"/>
      <c r="X28" s="49"/>
    </row>
    <row r="29" spans="1:26" ht="11.25" customHeight="1">
      <c r="A29" s="19"/>
      <c r="B29" s="19"/>
      <c r="C29" s="20"/>
      <c r="D29" s="21"/>
      <c r="E29" s="22"/>
      <c r="F29" s="30"/>
      <c r="G29" s="30"/>
      <c r="H29" s="30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49"/>
      <c r="X29" s="49"/>
    </row>
    <row r="30" spans="1:26" ht="11.25" customHeight="1">
      <c r="A30" s="19"/>
      <c r="B30" s="19"/>
      <c r="C30" s="20"/>
      <c r="D30" s="21"/>
      <c r="E30" s="22"/>
      <c r="F30" s="30"/>
      <c r="G30" s="30"/>
      <c r="H30" s="30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49"/>
      <c r="X30" s="49"/>
    </row>
    <row r="31" spans="1:26" ht="11.25" customHeight="1">
      <c r="A31" s="19"/>
      <c r="B31" s="19"/>
      <c r="C31" s="20"/>
      <c r="D31" s="21"/>
      <c r="E31" s="22"/>
      <c r="F31" s="30"/>
      <c r="G31" s="30"/>
      <c r="H31" s="30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49"/>
      <c r="X31" s="49"/>
    </row>
    <row r="32" spans="1:26" ht="11.25" customHeight="1">
      <c r="A32" s="19"/>
      <c r="B32" s="19"/>
      <c r="C32" s="20"/>
      <c r="D32" s="21"/>
      <c r="E32" s="22"/>
      <c r="F32" s="30"/>
      <c r="G32" s="30"/>
      <c r="H32" s="30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49"/>
      <c r="X32" s="49"/>
    </row>
    <row r="33" spans="1:24">
      <c r="A33" s="24"/>
      <c r="B33" s="24"/>
      <c r="C33" s="29" t="s">
        <v>21</v>
      </c>
      <c r="D33" s="21"/>
      <c r="E33" s="22"/>
      <c r="F33" s="30"/>
      <c r="G33" s="30"/>
      <c r="H33" s="30"/>
      <c r="I33" s="23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79"/>
      <c r="X33" s="50"/>
    </row>
    <row r="34" spans="1:24" ht="9" customHeight="1">
      <c r="C34" s="46"/>
      <c r="D34" s="46"/>
      <c r="E34" s="22"/>
      <c r="F34" s="51"/>
      <c r="G34" s="51"/>
      <c r="H34" s="51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52"/>
      <c r="X34" s="52"/>
    </row>
    <row r="35" spans="1:24">
      <c r="E35" s="22"/>
    </row>
    <row r="36" spans="1:24">
      <c r="E36" s="22"/>
    </row>
    <row r="49" spans="3:14">
      <c r="C49" s="154"/>
      <c r="G49" s="166" t="s">
        <v>117</v>
      </c>
      <c r="J49" s="2" t="s">
        <v>61</v>
      </c>
      <c r="K49" s="2" t="s">
        <v>117</v>
      </c>
      <c r="M49" s="2" t="str">
        <f>VLOOKUP(K49,$G$49:$J$108,4,0)</f>
        <v>ALTP001</v>
      </c>
      <c r="N49" s="215" t="str">
        <f>M49</f>
        <v>ALTP001</v>
      </c>
    </row>
    <row r="50" spans="3:14">
      <c r="C50" s="154"/>
      <c r="G50" s="166" t="s">
        <v>118</v>
      </c>
      <c r="J50" s="2" t="s">
        <v>62</v>
      </c>
      <c r="K50" s="2" t="s">
        <v>118</v>
      </c>
      <c r="M50" s="2" t="str">
        <f t="shared" ref="M50:M79" si="2">VLOOKUP(K50,$G$49:$J$108,4,0)</f>
        <v>ALTP002</v>
      </c>
      <c r="N50" s="215"/>
    </row>
    <row r="51" spans="3:14">
      <c r="C51" s="154"/>
      <c r="G51" s="166" t="s">
        <v>119</v>
      </c>
      <c r="J51" s="2" t="s">
        <v>63</v>
      </c>
      <c r="K51" s="2" t="s">
        <v>119</v>
      </c>
      <c r="M51" s="2" t="str">
        <f t="shared" si="2"/>
        <v>ALTP003</v>
      </c>
      <c r="N51" s="215" t="str">
        <f>M50</f>
        <v>ALTP002</v>
      </c>
    </row>
    <row r="52" spans="3:14">
      <c r="C52" s="154"/>
      <c r="G52" s="166" t="s">
        <v>120</v>
      </c>
      <c r="J52" s="2" t="s">
        <v>64</v>
      </c>
      <c r="K52" s="2" t="s">
        <v>120</v>
      </c>
      <c r="M52" s="2" t="str">
        <f t="shared" si="2"/>
        <v>ALTP004</v>
      </c>
      <c r="N52" s="215"/>
    </row>
    <row r="53" spans="3:14">
      <c r="C53" s="154"/>
      <c r="G53" s="166" t="s">
        <v>121</v>
      </c>
      <c r="J53" s="2" t="s">
        <v>65</v>
      </c>
      <c r="K53" s="2" t="s">
        <v>121</v>
      </c>
      <c r="M53" s="2" t="str">
        <f t="shared" si="2"/>
        <v>ALTP005</v>
      </c>
      <c r="N53" s="215" t="str">
        <f>M51</f>
        <v>ALTP003</v>
      </c>
    </row>
    <row r="54" spans="3:14">
      <c r="C54" s="154"/>
      <c r="G54" s="166" t="s">
        <v>122</v>
      </c>
      <c r="J54" s="2" t="s">
        <v>66</v>
      </c>
      <c r="K54" s="2" t="s">
        <v>122</v>
      </c>
      <c r="M54" s="2" t="str">
        <f t="shared" si="2"/>
        <v>ALTP006</v>
      </c>
      <c r="N54" s="215"/>
    </row>
    <row r="55" spans="3:14">
      <c r="C55" s="154"/>
      <c r="G55" s="166" t="s">
        <v>123</v>
      </c>
      <c r="J55" s="2" t="s">
        <v>67</v>
      </c>
      <c r="K55" s="2" t="s">
        <v>123</v>
      </c>
      <c r="M55" s="2" t="str">
        <f t="shared" si="2"/>
        <v>ALTP007</v>
      </c>
      <c r="N55" s="215" t="str">
        <f>M52</f>
        <v>ALTP004</v>
      </c>
    </row>
    <row r="56" spans="3:14">
      <c r="C56" s="154"/>
      <c r="G56" s="166" t="s">
        <v>124</v>
      </c>
      <c r="J56" s="2" t="s">
        <v>68</v>
      </c>
      <c r="K56" s="2" t="s">
        <v>124</v>
      </c>
      <c r="M56" s="2" t="str">
        <f t="shared" si="2"/>
        <v>ALTP008</v>
      </c>
      <c r="N56" s="215"/>
    </row>
    <row r="57" spans="3:14">
      <c r="C57" s="154"/>
      <c r="G57" s="166" t="s">
        <v>125</v>
      </c>
      <c r="J57" s="2" t="s">
        <v>69</v>
      </c>
      <c r="K57" s="2" t="s">
        <v>125</v>
      </c>
      <c r="M57" s="2" t="str">
        <f t="shared" si="2"/>
        <v>ALTP009</v>
      </c>
      <c r="N57" s="215" t="str">
        <f>M53</f>
        <v>ALTP005</v>
      </c>
    </row>
    <row r="58" spans="3:14">
      <c r="C58" s="154"/>
      <c r="G58" s="166" t="s">
        <v>126</v>
      </c>
      <c r="J58" s="2" t="s">
        <v>70</v>
      </c>
      <c r="K58" s="2" t="s">
        <v>126</v>
      </c>
      <c r="M58" s="2" t="str">
        <f t="shared" si="2"/>
        <v>ALTP010</v>
      </c>
      <c r="N58" s="215"/>
    </row>
    <row r="59" spans="3:14">
      <c r="C59" s="154"/>
      <c r="G59" s="166" t="s">
        <v>127</v>
      </c>
      <c r="J59" s="2" t="s">
        <v>71</v>
      </c>
      <c r="K59" s="2" t="s">
        <v>127</v>
      </c>
      <c r="M59" s="2" t="str">
        <f t="shared" si="2"/>
        <v>ALTP011</v>
      </c>
      <c r="N59" s="215" t="str">
        <f>M54</f>
        <v>ALTP006</v>
      </c>
    </row>
    <row r="60" spans="3:14">
      <c r="C60" s="154"/>
      <c r="G60" s="166" t="s">
        <v>128</v>
      </c>
      <c r="J60" s="2" t="s">
        <v>72</v>
      </c>
      <c r="K60" s="2" t="s">
        <v>129</v>
      </c>
      <c r="M60" s="2" t="str">
        <f t="shared" si="2"/>
        <v>ALTP013</v>
      </c>
      <c r="N60" s="215"/>
    </row>
    <row r="61" spans="3:14">
      <c r="C61" s="154"/>
      <c r="G61" s="166" t="s">
        <v>129</v>
      </c>
      <c r="J61" s="2" t="s">
        <v>73</v>
      </c>
      <c r="K61" s="2" t="s">
        <v>130</v>
      </c>
      <c r="M61" s="2" t="str">
        <f t="shared" si="2"/>
        <v>ALTP014</v>
      </c>
      <c r="N61" s="215" t="str">
        <f>M55</f>
        <v>ALTP007</v>
      </c>
    </row>
    <row r="62" spans="3:14">
      <c r="C62" s="154"/>
      <c r="G62" s="166" t="s">
        <v>130</v>
      </c>
      <c r="J62" s="2" t="s">
        <v>74</v>
      </c>
      <c r="K62" s="2" t="s">
        <v>131</v>
      </c>
      <c r="M62" s="2" t="str">
        <f t="shared" si="2"/>
        <v>ALTP015</v>
      </c>
      <c r="N62" s="215"/>
    </row>
    <row r="63" spans="3:14">
      <c r="C63" s="154"/>
      <c r="G63" s="166" t="s">
        <v>131</v>
      </c>
      <c r="J63" s="2" t="s">
        <v>75</v>
      </c>
      <c r="K63" s="2" t="s">
        <v>132</v>
      </c>
      <c r="M63" s="2" t="str">
        <f t="shared" si="2"/>
        <v>ALTP016</v>
      </c>
      <c r="N63" s="215" t="str">
        <f>M56</f>
        <v>ALTP008</v>
      </c>
    </row>
    <row r="64" spans="3:14">
      <c r="C64" s="154"/>
      <c r="G64" s="166" t="s">
        <v>132</v>
      </c>
      <c r="J64" s="2" t="s">
        <v>76</v>
      </c>
      <c r="K64" s="2" t="s">
        <v>133</v>
      </c>
      <c r="M64" s="2" t="str">
        <f t="shared" si="2"/>
        <v>ALTP017</v>
      </c>
      <c r="N64" s="215"/>
    </row>
    <row r="65" spans="3:14">
      <c r="C65" s="154"/>
      <c r="G65" s="166" t="s">
        <v>133</v>
      </c>
      <c r="J65" s="2" t="s">
        <v>77</v>
      </c>
      <c r="K65" s="2" t="s">
        <v>134</v>
      </c>
      <c r="M65" s="2" t="str">
        <f t="shared" si="2"/>
        <v>ALTP018</v>
      </c>
      <c r="N65" s="215" t="str">
        <f>M57</f>
        <v>ALTP009</v>
      </c>
    </row>
    <row r="66" spans="3:14">
      <c r="C66" s="154"/>
      <c r="G66" s="166" t="s">
        <v>134</v>
      </c>
      <c r="J66" s="2" t="s">
        <v>78</v>
      </c>
      <c r="K66" s="2" t="s">
        <v>138</v>
      </c>
      <c r="M66" s="2" t="str">
        <f t="shared" si="2"/>
        <v>ALTP019</v>
      </c>
      <c r="N66" s="215"/>
    </row>
    <row r="67" spans="3:14">
      <c r="C67" s="154"/>
      <c r="G67" s="166" t="s">
        <v>138</v>
      </c>
      <c r="J67" s="2" t="s">
        <v>79</v>
      </c>
      <c r="K67" s="2" t="s">
        <v>140</v>
      </c>
      <c r="M67" s="2" t="str">
        <f t="shared" si="2"/>
        <v>ALTP020</v>
      </c>
      <c r="N67" s="215" t="str">
        <f>M58</f>
        <v>ALTP010</v>
      </c>
    </row>
    <row r="68" spans="3:14">
      <c r="C68" s="154"/>
      <c r="G68" s="166" t="s">
        <v>140</v>
      </c>
      <c r="J68" s="2" t="s">
        <v>80</v>
      </c>
      <c r="K68" s="2" t="s">
        <v>145</v>
      </c>
      <c r="M68" s="2" t="str">
        <f t="shared" si="2"/>
        <v>ALTP025</v>
      </c>
      <c r="N68" s="215"/>
    </row>
    <row r="69" spans="3:14">
      <c r="C69" s="154"/>
      <c r="G69" s="166" t="s">
        <v>141</v>
      </c>
      <c r="J69" s="2" t="s">
        <v>81</v>
      </c>
      <c r="K69" s="2" t="s">
        <v>152</v>
      </c>
      <c r="M69" s="2" t="str">
        <f t="shared" si="2"/>
        <v>ALTP027</v>
      </c>
      <c r="N69" s="215" t="str">
        <f>M59</f>
        <v>ALTP011</v>
      </c>
    </row>
    <row r="70" spans="3:14">
      <c r="C70" s="154"/>
      <c r="G70" s="166" t="s">
        <v>142</v>
      </c>
      <c r="J70" s="2" t="s">
        <v>82</v>
      </c>
      <c r="K70" s="2" t="s">
        <v>100</v>
      </c>
      <c r="M70" s="2" t="str">
        <f t="shared" si="2"/>
        <v>ALTN001</v>
      </c>
      <c r="N70" s="215"/>
    </row>
    <row r="71" spans="3:14">
      <c r="C71" s="154"/>
      <c r="G71" s="166" t="s">
        <v>152</v>
      </c>
      <c r="J71" s="2" t="s">
        <v>87</v>
      </c>
      <c r="K71" s="2" t="s">
        <v>101</v>
      </c>
      <c r="M71" s="2" t="str">
        <f t="shared" si="2"/>
        <v>ALTN002</v>
      </c>
      <c r="N71" s="215" t="str">
        <f>M60</f>
        <v>ALTP013</v>
      </c>
    </row>
    <row r="72" spans="3:14">
      <c r="C72" s="154"/>
      <c r="G72" s="2" t="s">
        <v>143</v>
      </c>
      <c r="J72" s="2" t="s">
        <v>83</v>
      </c>
      <c r="K72" s="2" t="s">
        <v>102</v>
      </c>
      <c r="M72" s="2" t="str">
        <f t="shared" si="2"/>
        <v>ALTN003</v>
      </c>
      <c r="N72" s="215"/>
    </row>
    <row r="73" spans="3:14">
      <c r="C73" s="154"/>
      <c r="G73" s="2" t="s">
        <v>144</v>
      </c>
      <c r="J73" s="2" t="s">
        <v>84</v>
      </c>
      <c r="K73" s="2" t="s">
        <v>151</v>
      </c>
      <c r="M73" s="2" t="str">
        <f t="shared" si="2"/>
        <v>ALTN004</v>
      </c>
      <c r="N73" s="215" t="str">
        <f>M61</f>
        <v>ALTP014</v>
      </c>
    </row>
    <row r="74" spans="3:14">
      <c r="C74" s="154"/>
      <c r="G74" s="2" t="s">
        <v>145</v>
      </c>
      <c r="J74" s="2" t="s">
        <v>85</v>
      </c>
      <c r="K74" s="2" t="s">
        <v>104</v>
      </c>
      <c r="M74" s="2" t="str">
        <f t="shared" si="2"/>
        <v>ALTN006</v>
      </c>
      <c r="N74" s="215"/>
    </row>
    <row r="75" spans="3:14">
      <c r="C75" s="154"/>
      <c r="G75" s="2" t="s">
        <v>150</v>
      </c>
      <c r="J75" s="2" t="s">
        <v>86</v>
      </c>
      <c r="K75" s="2" t="s">
        <v>139</v>
      </c>
      <c r="M75" s="2" t="str">
        <f t="shared" si="2"/>
        <v>ALTN007</v>
      </c>
      <c r="N75" s="215" t="str">
        <f>M62</f>
        <v>ALTP015</v>
      </c>
    </row>
    <row r="76" spans="3:14">
      <c r="C76" s="154"/>
      <c r="G76" s="2" t="s">
        <v>100</v>
      </c>
      <c r="J76" s="2" t="s">
        <v>89</v>
      </c>
      <c r="K76" s="2" t="s">
        <v>146</v>
      </c>
      <c r="M76" s="2" t="str">
        <f t="shared" si="2"/>
        <v>ALTN008</v>
      </c>
      <c r="N76" s="215"/>
    </row>
    <row r="77" spans="3:14">
      <c r="C77" s="154"/>
      <c r="G77" s="2" t="s">
        <v>101</v>
      </c>
      <c r="J77" s="2" t="s">
        <v>90</v>
      </c>
      <c r="K77" s="2" t="s">
        <v>147</v>
      </c>
      <c r="M77" s="2" t="str">
        <f t="shared" si="2"/>
        <v>ALTN009</v>
      </c>
      <c r="N77" s="215" t="str">
        <f>M63</f>
        <v>ALTP016</v>
      </c>
    </row>
    <row r="78" spans="3:14">
      <c r="C78" s="154"/>
      <c r="G78" s="2" t="s">
        <v>102</v>
      </c>
      <c r="J78" s="2" t="s">
        <v>91</v>
      </c>
      <c r="K78" s="2" t="s">
        <v>148</v>
      </c>
      <c r="M78" s="2" t="str">
        <f t="shared" si="2"/>
        <v>ALTN010</v>
      </c>
      <c r="N78" s="215"/>
    </row>
    <row r="79" spans="3:14">
      <c r="C79" s="154"/>
      <c r="G79" s="2" t="s">
        <v>151</v>
      </c>
      <c r="J79" s="2" t="s">
        <v>92</v>
      </c>
      <c r="K79" s="2" t="s">
        <v>149</v>
      </c>
      <c r="M79" s="2" t="str">
        <f t="shared" si="2"/>
        <v>ALTN011</v>
      </c>
      <c r="N79" s="215" t="str">
        <f>M64</f>
        <v>ALTP017</v>
      </c>
    </row>
    <row r="80" spans="3:14">
      <c r="C80" s="154"/>
      <c r="G80" s="2" t="s">
        <v>103</v>
      </c>
      <c r="J80" s="2" t="s">
        <v>93</v>
      </c>
      <c r="N80" s="215"/>
    </row>
    <row r="81" spans="3:14">
      <c r="C81" s="154"/>
      <c r="G81" s="31" t="s">
        <v>104</v>
      </c>
      <c r="J81" s="2" t="s">
        <v>94</v>
      </c>
      <c r="N81" s="215" t="str">
        <f>M65</f>
        <v>ALTP018</v>
      </c>
    </row>
    <row r="82" spans="3:14">
      <c r="C82" s="154"/>
      <c r="G82" s="31" t="s">
        <v>139</v>
      </c>
      <c r="J82" s="2" t="s">
        <v>95</v>
      </c>
      <c r="N82" s="215"/>
    </row>
    <row r="83" spans="3:14">
      <c r="C83" s="154"/>
      <c r="G83" s="31" t="s">
        <v>146</v>
      </c>
      <c r="J83" s="2" t="s">
        <v>96</v>
      </c>
      <c r="N83" s="215" t="str">
        <f>M66</f>
        <v>ALTP019</v>
      </c>
    </row>
    <row r="84" spans="3:14">
      <c r="C84" s="154"/>
      <c r="G84" s="31" t="s">
        <v>147</v>
      </c>
      <c r="J84" s="2" t="s">
        <v>97</v>
      </c>
      <c r="N84" s="215"/>
    </row>
    <row r="85" spans="3:14">
      <c r="C85" s="154"/>
      <c r="G85" s="31" t="s">
        <v>148</v>
      </c>
      <c r="J85" s="2" t="s">
        <v>98</v>
      </c>
      <c r="N85" s="215" t="str">
        <f>M67</f>
        <v>ALTP020</v>
      </c>
    </row>
    <row r="86" spans="3:14">
      <c r="C86" s="154"/>
      <c r="G86" s="31" t="s">
        <v>149</v>
      </c>
      <c r="J86" s="2" t="s">
        <v>99</v>
      </c>
      <c r="N86" s="215"/>
    </row>
    <row r="87" spans="3:14">
      <c r="C87" s="154"/>
      <c r="N87" s="215" t="str">
        <f>M68</f>
        <v>ALTP025</v>
      </c>
    </row>
    <row r="88" spans="3:14">
      <c r="C88" s="154"/>
      <c r="N88" s="215"/>
    </row>
    <row r="89" spans="3:14">
      <c r="C89" s="154"/>
      <c r="N89" s="215" t="str">
        <f>M69</f>
        <v>ALTP027</v>
      </c>
    </row>
    <row r="90" spans="3:14">
      <c r="C90" s="154"/>
      <c r="N90" s="215"/>
    </row>
    <row r="91" spans="3:14">
      <c r="C91" s="154"/>
      <c r="N91" s="215" t="str">
        <f>M70</f>
        <v>ALTN001</v>
      </c>
    </row>
    <row r="92" spans="3:14">
      <c r="C92" s="154"/>
      <c r="N92" s="215"/>
    </row>
    <row r="93" spans="3:14">
      <c r="C93" s="154"/>
      <c r="N93" s="215" t="str">
        <f>M71</f>
        <v>ALTN002</v>
      </c>
    </row>
    <row r="94" spans="3:14">
      <c r="C94" s="154"/>
      <c r="N94" s="215"/>
    </row>
    <row r="95" spans="3:14">
      <c r="C95" s="154"/>
      <c r="N95" s="215" t="str">
        <f>M72</f>
        <v>ALTN003</v>
      </c>
    </row>
    <row r="96" spans="3:14">
      <c r="C96" s="154"/>
      <c r="N96" s="215"/>
    </row>
    <row r="97" spans="3:14">
      <c r="C97" s="154"/>
      <c r="N97" s="215" t="str">
        <f>M73</f>
        <v>ALTN004</v>
      </c>
    </row>
    <row r="98" spans="3:14">
      <c r="C98" s="154"/>
      <c r="N98" s="215"/>
    </row>
    <row r="99" spans="3:14">
      <c r="C99" s="154"/>
      <c r="N99" s="215" t="str">
        <f>M74</f>
        <v>ALTN006</v>
      </c>
    </row>
    <row r="100" spans="3:14">
      <c r="C100" s="154"/>
      <c r="N100" s="215"/>
    </row>
    <row r="101" spans="3:14">
      <c r="C101" s="154"/>
      <c r="N101" s="215" t="str">
        <f>M75</f>
        <v>ALTN007</v>
      </c>
    </row>
    <row r="102" spans="3:14">
      <c r="C102" s="154"/>
      <c r="N102" s="215"/>
    </row>
    <row r="103" spans="3:14">
      <c r="C103" s="154"/>
      <c r="N103" s="215" t="str">
        <f>M76</f>
        <v>ALTN008</v>
      </c>
    </row>
    <row r="104" spans="3:14">
      <c r="C104" s="154"/>
      <c r="N104" s="215"/>
    </row>
    <row r="105" spans="3:14">
      <c r="C105" s="154"/>
      <c r="N105" s="215" t="str">
        <f>M77</f>
        <v>ALTN009</v>
      </c>
    </row>
    <row r="106" spans="3:14">
      <c r="C106" s="154"/>
      <c r="N106" s="215"/>
    </row>
    <row r="107" spans="3:14">
      <c r="C107" s="154"/>
      <c r="N107" s="215" t="str">
        <f>M78</f>
        <v>ALTN010</v>
      </c>
    </row>
    <row r="108" spans="3:14">
      <c r="C108" s="154"/>
      <c r="N108" s="215"/>
    </row>
    <row r="109" spans="3:14">
      <c r="C109" s="154"/>
      <c r="N109" s="215" t="str">
        <f>M79</f>
        <v>ALTN011</v>
      </c>
    </row>
    <row r="110" spans="3:14">
      <c r="C110" s="154"/>
      <c r="N110" s="215"/>
    </row>
  </sheetData>
  <protectedRanges>
    <protectedRange password="CC78" sqref="E37:E65338 B8:D9 W8:W9 B25:B65338 C34:D65338 F34:JG48 F100:M100 Y8:JG12 F49 H49:J49 L49:JG49 L50:L76 F87:L99 N50:JG100 M50:M79 F101:JG65338 K77:L86 F50:J70 F72:J86 F71 H71:J71 F8:H8 J20:JG24 C20:H24 B10:X10 V14:JG19 J11:X12 J13:JG13 A8:A65338 E11:H19" name="Range1"/>
    <protectedRange password="CC78" sqref="C27:C32 E34:E36 W27:JG32 D27:H33" name="Range1_1_1"/>
    <protectedRange password="CC78" sqref="C33 W33:JG33" name="Range1_3_1"/>
    <protectedRange password="CC78" sqref="A5:JG7" name="Range1_2"/>
    <protectedRange password="CC78" sqref="I8:V9 I11:I24" name="Range1_3"/>
    <protectedRange password="CC78" sqref="B20:B24" name="Range1_1"/>
    <protectedRange password="CC78" sqref="E8:E9 F9" name="Range1_4"/>
    <protectedRange password="CC78" sqref="B14:B19" name="Range1_6"/>
    <protectedRange password="CC78" sqref="D14:D19" name="Range1_7"/>
    <protectedRange password="CC78" sqref="J11:U19" name="Range1_11"/>
  </protectedRanges>
  <autoFilter ref="A10:Z19"/>
  <mergeCells count="45">
    <mergeCell ref="N105:N106"/>
    <mergeCell ref="N107:N108"/>
    <mergeCell ref="N109:N110"/>
    <mergeCell ref="J8:U8"/>
    <mergeCell ref="V8:V9"/>
    <mergeCell ref="N77:N78"/>
    <mergeCell ref="N79:N80"/>
    <mergeCell ref="N81:N82"/>
    <mergeCell ref="N83:N84"/>
    <mergeCell ref="N85:N86"/>
    <mergeCell ref="N87:N88"/>
    <mergeCell ref="N101:N102"/>
    <mergeCell ref="N103:N104"/>
    <mergeCell ref="N99:N100"/>
    <mergeCell ref="N89:N90"/>
    <mergeCell ref="N91:N92"/>
    <mergeCell ref="N65:N66"/>
    <mergeCell ref="N67:N68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93:N94"/>
    <mergeCell ref="N95:N96"/>
    <mergeCell ref="N97:N98"/>
    <mergeCell ref="A22:C24"/>
    <mergeCell ref="N69:N70"/>
    <mergeCell ref="N71:N72"/>
    <mergeCell ref="N73:N74"/>
    <mergeCell ref="N75:N76"/>
    <mergeCell ref="N49:N50"/>
    <mergeCell ref="N51:N52"/>
    <mergeCell ref="N53:N54"/>
    <mergeCell ref="N55:N56"/>
    <mergeCell ref="N57:N58"/>
    <mergeCell ref="N59:N60"/>
    <mergeCell ref="N61:N62"/>
    <mergeCell ref="N63:N64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38"/>
  <sheetViews>
    <sheetView zoomScaleNormal="115" workbookViewId="0">
      <pane xSplit="3" ySplit="6" topLeftCell="D7" activePane="bottomRight" state="frozen"/>
      <selection activeCell="E5" sqref="E5:E7"/>
      <selection pane="topRight" activeCell="E5" sqref="E5:E7"/>
      <selection pane="bottomLeft" activeCell="E5" sqref="E5:E7"/>
      <selection pane="bottomRight" activeCell="AM1" sqref="AM1:AS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3" t="s">
        <v>185</v>
      </c>
      <c r="AN1" s="254"/>
      <c r="AO1" s="254"/>
      <c r="AP1" s="254"/>
      <c r="AQ1" s="254"/>
      <c r="AR1" s="254"/>
      <c r="AS1" s="25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40664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49" t="s">
        <v>28</v>
      </c>
      <c r="B5" s="249" t="s">
        <v>3</v>
      </c>
      <c r="C5" s="249" t="s">
        <v>1</v>
      </c>
      <c r="D5" s="245" t="s">
        <v>29</v>
      </c>
      <c r="E5" s="249" t="s">
        <v>30</v>
      </c>
      <c r="F5" s="118">
        <f>+E4</f>
        <v>40664</v>
      </c>
      <c r="G5" s="118">
        <f t="shared" ref="G5:AJ5" si="0">F5+1</f>
        <v>40665</v>
      </c>
      <c r="H5" s="118">
        <f t="shared" si="0"/>
        <v>40666</v>
      </c>
      <c r="I5" s="118">
        <f t="shared" si="0"/>
        <v>40667</v>
      </c>
      <c r="J5" s="118">
        <f t="shared" si="0"/>
        <v>40668</v>
      </c>
      <c r="K5" s="118">
        <f t="shared" si="0"/>
        <v>40669</v>
      </c>
      <c r="L5" s="118">
        <f t="shared" si="0"/>
        <v>40670</v>
      </c>
      <c r="M5" s="118">
        <f t="shared" si="0"/>
        <v>40671</v>
      </c>
      <c r="N5" s="118">
        <f t="shared" si="0"/>
        <v>40672</v>
      </c>
      <c r="O5" s="118">
        <f t="shared" si="0"/>
        <v>40673</v>
      </c>
      <c r="P5" s="118">
        <f t="shared" si="0"/>
        <v>40674</v>
      </c>
      <c r="Q5" s="118">
        <f t="shared" si="0"/>
        <v>40675</v>
      </c>
      <c r="R5" s="118">
        <f t="shared" si="0"/>
        <v>40676</v>
      </c>
      <c r="S5" s="118">
        <f t="shared" si="0"/>
        <v>40677</v>
      </c>
      <c r="T5" s="118">
        <f t="shared" si="0"/>
        <v>40678</v>
      </c>
      <c r="U5" s="118">
        <f t="shared" si="0"/>
        <v>40679</v>
      </c>
      <c r="V5" s="118">
        <f t="shared" si="0"/>
        <v>40680</v>
      </c>
      <c r="W5" s="118">
        <f t="shared" si="0"/>
        <v>40681</v>
      </c>
      <c r="X5" s="118">
        <f t="shared" si="0"/>
        <v>40682</v>
      </c>
      <c r="Y5" s="118">
        <f t="shared" si="0"/>
        <v>40683</v>
      </c>
      <c r="Z5" s="118">
        <f t="shared" si="0"/>
        <v>40684</v>
      </c>
      <c r="AA5" s="118">
        <f t="shared" si="0"/>
        <v>40685</v>
      </c>
      <c r="AB5" s="118">
        <f t="shared" si="0"/>
        <v>40686</v>
      </c>
      <c r="AC5" s="118">
        <f t="shared" si="0"/>
        <v>40687</v>
      </c>
      <c r="AD5" s="118">
        <f t="shared" si="0"/>
        <v>40688</v>
      </c>
      <c r="AE5" s="118">
        <f t="shared" si="0"/>
        <v>40689</v>
      </c>
      <c r="AF5" s="118">
        <f t="shared" si="0"/>
        <v>40690</v>
      </c>
      <c r="AG5" s="118">
        <f t="shared" si="0"/>
        <v>40691</v>
      </c>
      <c r="AH5" s="118">
        <f>AG5+1</f>
        <v>40692</v>
      </c>
      <c r="AI5" s="118">
        <f t="shared" si="0"/>
        <v>40693</v>
      </c>
      <c r="AJ5" s="118">
        <f t="shared" si="0"/>
        <v>40694</v>
      </c>
      <c r="AK5" s="250" t="s">
        <v>15</v>
      </c>
      <c r="AL5" s="251"/>
      <c r="AM5" s="252"/>
      <c r="AN5" s="247" t="s">
        <v>45</v>
      </c>
      <c r="AO5" s="247" t="s">
        <v>41</v>
      </c>
      <c r="AP5" s="247" t="s">
        <v>42</v>
      </c>
      <c r="AQ5" s="247" t="s">
        <v>43</v>
      </c>
      <c r="AR5" s="247" t="s">
        <v>44</v>
      </c>
      <c r="AS5" s="245" t="s">
        <v>0</v>
      </c>
      <c r="AT5" s="24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6"/>
      <c r="B6" s="246"/>
      <c r="C6" s="246"/>
      <c r="D6" s="246"/>
      <c r="E6" s="246"/>
      <c r="F6" s="175" t="str">
        <f>CHOOSE(WEEKDAY(F5),"C.Nhật","T.Hai","T.Ba","T.Tư","T.Năm","T.Sáu","T.Bảy")</f>
        <v>C.Nhật</v>
      </c>
      <c r="G6" s="175" t="str">
        <f t="shared" ref="G6:AJ6" si="1">CHOOSE(WEEKDAY(G5),"C.Nhật","T.Hai","T.Ba","T.Tư","T.Năm","T.Sáu","T.Bảy")</f>
        <v>T.Hai</v>
      </c>
      <c r="H6" s="175" t="str">
        <f t="shared" si="1"/>
        <v>T.Ba</v>
      </c>
      <c r="I6" s="175" t="str">
        <f t="shared" si="1"/>
        <v>T.Tư</v>
      </c>
      <c r="J6" s="175" t="str">
        <f t="shared" si="1"/>
        <v>T.Năm</v>
      </c>
      <c r="K6" s="175" t="str">
        <f t="shared" si="1"/>
        <v>T.Sáu</v>
      </c>
      <c r="L6" s="175" t="str">
        <f t="shared" si="1"/>
        <v>T.Bảy</v>
      </c>
      <c r="M6" s="175" t="str">
        <f t="shared" si="1"/>
        <v>C.Nhật</v>
      </c>
      <c r="N6" s="175" t="str">
        <f t="shared" si="1"/>
        <v>T.Hai</v>
      </c>
      <c r="O6" s="175" t="str">
        <f t="shared" si="1"/>
        <v>T.Ba</v>
      </c>
      <c r="P6" s="175" t="str">
        <f t="shared" si="1"/>
        <v>T.Tư</v>
      </c>
      <c r="Q6" s="175" t="str">
        <f t="shared" si="1"/>
        <v>T.Năm</v>
      </c>
      <c r="R6" s="175" t="str">
        <f t="shared" si="1"/>
        <v>T.Sáu</v>
      </c>
      <c r="S6" s="175" t="str">
        <f t="shared" si="1"/>
        <v>T.Bảy</v>
      </c>
      <c r="T6" s="175" t="str">
        <f t="shared" si="1"/>
        <v>C.Nhật</v>
      </c>
      <c r="U6" s="175" t="str">
        <f t="shared" si="1"/>
        <v>T.Hai</v>
      </c>
      <c r="V6" s="175" t="str">
        <f t="shared" si="1"/>
        <v>T.Ba</v>
      </c>
      <c r="W6" s="175" t="str">
        <f t="shared" si="1"/>
        <v>T.Tư</v>
      </c>
      <c r="X6" s="175" t="str">
        <f t="shared" si="1"/>
        <v>T.Năm</v>
      </c>
      <c r="Y6" s="175" t="str">
        <f t="shared" si="1"/>
        <v>T.Sáu</v>
      </c>
      <c r="Z6" s="175" t="str">
        <f t="shared" si="1"/>
        <v>T.Bảy</v>
      </c>
      <c r="AA6" s="175" t="str">
        <f t="shared" si="1"/>
        <v>C.Nhật</v>
      </c>
      <c r="AB6" s="175" t="str">
        <f t="shared" si="1"/>
        <v>T.Hai</v>
      </c>
      <c r="AC6" s="175" t="str">
        <f t="shared" si="1"/>
        <v>T.Ba</v>
      </c>
      <c r="AD6" s="175" t="str">
        <f t="shared" si="1"/>
        <v>T.Tư</v>
      </c>
      <c r="AE6" s="175" t="str">
        <f t="shared" si="1"/>
        <v>T.Năm</v>
      </c>
      <c r="AF6" s="175" t="str">
        <f t="shared" si="1"/>
        <v>T.Sáu</v>
      </c>
      <c r="AG6" s="175" t="str">
        <f t="shared" si="1"/>
        <v>T.Bảy</v>
      </c>
      <c r="AH6" s="175" t="str">
        <f t="shared" si="1"/>
        <v>C.Nhật</v>
      </c>
      <c r="AI6" s="175" t="str">
        <f t="shared" si="1"/>
        <v>T.Hai</v>
      </c>
      <c r="AJ6" s="175" t="str">
        <f t="shared" si="1"/>
        <v>T.Ba</v>
      </c>
      <c r="AK6" s="176" t="s">
        <v>16</v>
      </c>
      <c r="AL6" s="176" t="s">
        <v>31</v>
      </c>
      <c r="AM6" s="177" t="s">
        <v>17</v>
      </c>
      <c r="AN6" s="248"/>
      <c r="AO6" s="248"/>
      <c r="AP6" s="248"/>
      <c r="AQ6" s="248"/>
      <c r="AR6" s="248"/>
      <c r="AS6" s="246"/>
      <c r="AT6" s="24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184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38">
        <v>1</v>
      </c>
      <c r="B9" s="238" t="s">
        <v>161</v>
      </c>
      <c r="C9" s="240" t="str">
        <f>VLOOKUP(B9,DS,2,0)</f>
        <v>Lê Thị Dung</v>
      </c>
      <c r="D9" s="228" t="str">
        <f>VLOOKUP(B9,DS,3,0)</f>
        <v>Giám Đốc</v>
      </c>
      <c r="E9" s="68" t="s">
        <v>32</v>
      </c>
      <c r="F9" s="143"/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>
        <v>8</v>
      </c>
      <c r="AJ9" s="143">
        <v>8</v>
      </c>
      <c r="AK9" s="230">
        <f>((SUM(F9:AJ9))/8)-(SUMIF($F$6:$AJ$6,"C.Nhật",F9:AJ9)/8)</f>
        <v>25</v>
      </c>
      <c r="AL9" s="230">
        <f>SUM(F10:AJ10)/8*1.5</f>
        <v>0</v>
      </c>
      <c r="AM9" s="232">
        <f>SUMIF($F$6:$AJ$6,"C.Nhật",$F9:$AJ10)/8*2</f>
        <v>0</v>
      </c>
      <c r="AN9" s="234">
        <f>SUM(AK9:AM10)</f>
        <v>25</v>
      </c>
      <c r="AO9" s="236">
        <v>0</v>
      </c>
      <c r="AP9" s="234"/>
      <c r="AQ9" s="234"/>
      <c r="AR9" s="234"/>
      <c r="AS9" s="243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39"/>
      <c r="B10" s="239"/>
      <c r="C10" s="241"/>
      <c r="D10" s="22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31"/>
      <c r="AL10" s="231"/>
      <c r="AM10" s="233"/>
      <c r="AN10" s="235"/>
      <c r="AO10" s="237"/>
      <c r="AP10" s="235"/>
      <c r="AQ10" s="235"/>
      <c r="AR10" s="235"/>
      <c r="AS10" s="244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38">
        <v>2</v>
      </c>
      <c r="B11" s="238" t="s">
        <v>162</v>
      </c>
      <c r="C11" s="240" t="str">
        <f>VLOOKUP(B11,DS,2,0)</f>
        <v>Phan Văn Hiền</v>
      </c>
      <c r="D11" s="228" t="str">
        <f>VLOOKUP(B11,DS,3,0)</f>
        <v>Quản Đốc</v>
      </c>
      <c r="E11" s="68" t="s">
        <v>32</v>
      </c>
      <c r="F11" s="143"/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>
        <v>8</v>
      </c>
      <c r="AJ11" s="143">
        <v>8</v>
      </c>
      <c r="AK11" s="230">
        <f t="shared" ref="AK11" si="2">((SUM(F11:AJ11))/8)-(SUMIF($F$6:$AJ$6,"C.Nhật",F11:AJ11)/8)</f>
        <v>25</v>
      </c>
      <c r="AL11" s="230">
        <f t="shared" ref="AL11" si="3">SUM(F12:AJ12)/8*1.5</f>
        <v>0</v>
      </c>
      <c r="AM11" s="232">
        <f t="shared" ref="AM11:AM13" si="4">SUMIF($F$6:$AJ$6,"C.Nhật",$F11:$AJ12)/8*2</f>
        <v>0</v>
      </c>
      <c r="AN11" s="234">
        <f t="shared" ref="AN11" si="5">SUM(AK11:AM12)</f>
        <v>25</v>
      </c>
      <c r="AO11" s="236">
        <v>0</v>
      </c>
      <c r="AP11" s="234"/>
      <c r="AQ11" s="234"/>
      <c r="AR11" s="234"/>
      <c r="AS11" s="243"/>
      <c r="AT11" s="1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39"/>
      <c r="B12" s="239"/>
      <c r="C12" s="241"/>
      <c r="D12" s="22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31"/>
      <c r="AL12" s="231"/>
      <c r="AM12" s="233"/>
      <c r="AN12" s="235"/>
      <c r="AO12" s="237"/>
      <c r="AP12" s="235"/>
      <c r="AQ12" s="235"/>
      <c r="AR12" s="235"/>
      <c r="AS12" s="244"/>
      <c r="AT12" s="1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38">
        <v>3</v>
      </c>
      <c r="B13" s="238" t="s">
        <v>183</v>
      </c>
      <c r="C13" s="240" t="str">
        <f>VLOOKUP(B13,DS,2,0)</f>
        <v>Nguyễn Thị Thu Sương</v>
      </c>
      <c r="D13" s="228" t="str">
        <f>VLOOKUP(B13,DS,3,0)</f>
        <v>Kinh Doanh</v>
      </c>
      <c r="E13" s="68" t="s">
        <v>32</v>
      </c>
      <c r="F13" s="143"/>
      <c r="G13" s="143"/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/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/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/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/>
      <c r="AI13" s="143">
        <v>8</v>
      </c>
      <c r="AJ13" s="143">
        <v>8</v>
      </c>
      <c r="AK13" s="230">
        <f t="shared" ref="AK13" si="6">((SUM(F13:AJ13))/8)-(SUMIF($F$6:$AJ$6,"C.Nhật",F13:AJ13)/8)</f>
        <v>25</v>
      </c>
      <c r="AL13" s="230">
        <f t="shared" ref="AL13" si="7">SUM(F14:AJ14)/8*1.5</f>
        <v>0</v>
      </c>
      <c r="AM13" s="232">
        <f t="shared" si="4"/>
        <v>0</v>
      </c>
      <c r="AN13" s="234">
        <f t="shared" ref="AN13" si="8">SUM(AK13:AM14)</f>
        <v>25</v>
      </c>
      <c r="AO13" s="236">
        <v>0</v>
      </c>
      <c r="AP13" s="234"/>
      <c r="AQ13" s="234"/>
      <c r="AR13" s="234"/>
      <c r="AS13" s="243"/>
      <c r="AT13" s="11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39"/>
      <c r="B14" s="239"/>
      <c r="C14" s="241"/>
      <c r="D14" s="229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31"/>
      <c r="AL14" s="231"/>
      <c r="AM14" s="233"/>
      <c r="AN14" s="235"/>
      <c r="AO14" s="237"/>
      <c r="AP14" s="235"/>
      <c r="AQ14" s="235"/>
      <c r="AR14" s="235"/>
      <c r="AS14" s="244"/>
      <c r="AT14" s="11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38">
        <v>1</v>
      </c>
      <c r="B16" s="238" t="s">
        <v>163</v>
      </c>
      <c r="C16" s="240" t="str">
        <f>VLOOKUP(B16,DS,2,0)</f>
        <v>Nguyễn Trường Giang</v>
      </c>
      <c r="D16" s="228" t="str">
        <f>VLOOKUP(B16,DS,3,0)</f>
        <v>Thợ in</v>
      </c>
      <c r="E16" s="68" t="s">
        <v>32</v>
      </c>
      <c r="F16" s="143"/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>
        <v>8</v>
      </c>
      <c r="AJ16" s="143">
        <v>8</v>
      </c>
      <c r="AK16" s="230">
        <f t="shared" ref="AK16" si="9">((SUM(F16:AJ16))/8)-(SUMIF($F$6:$AJ$6,"C.Nhật",F16:AJ16)/8)</f>
        <v>25</v>
      </c>
      <c r="AL16" s="230">
        <f t="shared" ref="AL16" si="10">SUM(F17:AJ17)/8*1.5</f>
        <v>0</v>
      </c>
      <c r="AM16" s="232">
        <f>SUMIF($F$6:$AJ$6,"C.Nhật",$F16:$AJ17)/8*2</f>
        <v>0</v>
      </c>
      <c r="AN16" s="234">
        <f>SUM(AK16:AM17)</f>
        <v>25</v>
      </c>
      <c r="AO16" s="236">
        <v>0</v>
      </c>
      <c r="AP16" s="234"/>
      <c r="AQ16" s="234"/>
      <c r="AR16" s="234"/>
      <c r="AS16" s="243"/>
      <c r="AT16" s="14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39"/>
      <c r="B17" s="239"/>
      <c r="C17" s="241"/>
      <c r="D17" s="22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31"/>
      <c r="AL17" s="231"/>
      <c r="AM17" s="233"/>
      <c r="AN17" s="235"/>
      <c r="AO17" s="237"/>
      <c r="AP17" s="235"/>
      <c r="AQ17" s="235"/>
      <c r="AR17" s="235"/>
      <c r="AS17" s="244"/>
      <c r="AT17" s="14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38">
        <f>A16+1</f>
        <v>2</v>
      </c>
      <c r="B18" s="238" t="s">
        <v>164</v>
      </c>
      <c r="C18" s="240" t="str">
        <f>VLOOKUP(B18,DS,2,0)</f>
        <v>Đoàn Hồng Phong</v>
      </c>
      <c r="D18" s="228" t="str">
        <f>VLOOKUP(B18,DS,3,0)</f>
        <v>Thợ đóng - xả</v>
      </c>
      <c r="E18" s="68" t="s">
        <v>32</v>
      </c>
      <c r="F18" s="143"/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>
        <v>8</v>
      </c>
      <c r="AJ18" s="143">
        <v>8</v>
      </c>
      <c r="AK18" s="230">
        <f t="shared" ref="AK18" si="11">((SUM(F18:AJ18))/8)-(SUMIF($F$6:$AJ$6,"C.Nhật",F18:AJ18)/8)</f>
        <v>25</v>
      </c>
      <c r="AL18" s="230">
        <f t="shared" ref="AL18" si="12">SUM(F19:AJ19)/8*1.5</f>
        <v>0</v>
      </c>
      <c r="AM18" s="232">
        <f>SUMIF($F$6:$AJ$6,"C.Nhật",$F18:$AJ19)/8*2</f>
        <v>0</v>
      </c>
      <c r="AN18" s="234">
        <f t="shared" ref="AN18" si="13">SUM(AK18:AM19)</f>
        <v>25</v>
      </c>
      <c r="AO18" s="236">
        <v>0</v>
      </c>
      <c r="AP18" s="234"/>
      <c r="AQ18" s="234"/>
      <c r="AR18" s="234"/>
      <c r="AS18" s="243"/>
      <c r="AT18" s="14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39"/>
      <c r="B19" s="239"/>
      <c r="C19" s="241"/>
      <c r="D19" s="22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31"/>
      <c r="AL19" s="231"/>
      <c r="AM19" s="233"/>
      <c r="AN19" s="235"/>
      <c r="AO19" s="237"/>
      <c r="AP19" s="235"/>
      <c r="AQ19" s="235"/>
      <c r="AR19" s="235"/>
      <c r="AS19" s="244"/>
      <c r="AT19" s="14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38">
        <f t="shared" ref="A20" si="14">A18+1</f>
        <v>3</v>
      </c>
      <c r="B20" s="238" t="s">
        <v>165</v>
      </c>
      <c r="C20" s="240" t="str">
        <f>VLOOKUP(B20,DS,2,0)</f>
        <v>Trần Hữu Tình</v>
      </c>
      <c r="D20" s="228" t="str">
        <f>VLOOKUP(B20,DS,3,0)</f>
        <v>Công nhân</v>
      </c>
      <c r="E20" s="68" t="s">
        <v>32</v>
      </c>
      <c r="F20" s="143"/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/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/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/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/>
      <c r="AI20" s="143">
        <v>8</v>
      </c>
      <c r="AJ20" s="143">
        <v>8</v>
      </c>
      <c r="AK20" s="230">
        <f t="shared" ref="AK20" si="15">((SUM(F20:AJ20))/8)-(SUMIF($F$6:$AJ$6,"C.Nhật",F20:AJ20)/8)</f>
        <v>25</v>
      </c>
      <c r="AL20" s="230">
        <f t="shared" ref="AL20" si="16">SUM(F21:AJ21)/8*1.5</f>
        <v>0</v>
      </c>
      <c r="AM20" s="232">
        <f>SUMIF($F$6:$AJ$6,"C.Nhật",$F20:$AJ21)/8*2</f>
        <v>0</v>
      </c>
      <c r="AN20" s="234">
        <f t="shared" ref="AN20" si="17">SUM(AK20:AM21)</f>
        <v>25</v>
      </c>
      <c r="AO20" s="236">
        <v>0</v>
      </c>
      <c r="AP20" s="234"/>
      <c r="AQ20" s="234"/>
      <c r="AR20" s="234"/>
      <c r="AS20" s="243"/>
      <c r="AT20" s="14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39"/>
      <c r="B21" s="239"/>
      <c r="C21" s="241"/>
      <c r="D21" s="229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31"/>
      <c r="AL21" s="231"/>
      <c r="AM21" s="233"/>
      <c r="AN21" s="235"/>
      <c r="AO21" s="237"/>
      <c r="AP21" s="235"/>
      <c r="AQ21" s="235"/>
      <c r="AR21" s="235"/>
      <c r="AS21" s="244"/>
      <c r="AT21" s="14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11:A12"/>
    <mergeCell ref="B11:B12"/>
    <mergeCell ref="C11:C12"/>
    <mergeCell ref="D11:D12"/>
    <mergeCell ref="AK11:AK12"/>
    <mergeCell ref="AP20:AP21"/>
    <mergeCell ref="AQ20:AQ21"/>
    <mergeCell ref="AR20:AR21"/>
    <mergeCell ref="AS20:AS21"/>
    <mergeCell ref="AP16:AP17"/>
    <mergeCell ref="AQ16:AQ17"/>
    <mergeCell ref="AR16:AR17"/>
    <mergeCell ref="AS16:AS17"/>
    <mergeCell ref="AP18:AP19"/>
    <mergeCell ref="AQ18:AQ19"/>
    <mergeCell ref="AR18:AR19"/>
    <mergeCell ref="AS18:AS19"/>
    <mergeCell ref="AM1:AS1"/>
    <mergeCell ref="AS13:AS14"/>
    <mergeCell ref="AK13:AK14"/>
    <mergeCell ref="AL13:AL14"/>
    <mergeCell ref="AM13:AM14"/>
    <mergeCell ref="AR13:AR14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L16:AL17"/>
    <mergeCell ref="AM16:AM17"/>
    <mergeCell ref="AN16:AN17"/>
    <mergeCell ref="AO16:AO17"/>
    <mergeCell ref="A20:A21"/>
    <mergeCell ref="B20:B21"/>
    <mergeCell ref="C20:C21"/>
    <mergeCell ref="A16:A17"/>
    <mergeCell ref="B16:B17"/>
    <mergeCell ref="C16:C17"/>
    <mergeCell ref="D16:D17"/>
    <mergeCell ref="AK16:AK17"/>
    <mergeCell ref="A13:A14"/>
    <mergeCell ref="B13:B14"/>
    <mergeCell ref="C13:C14"/>
    <mergeCell ref="D13:D14"/>
    <mergeCell ref="AN13:AN14"/>
    <mergeCell ref="E5:E6"/>
    <mergeCell ref="AN5:AN6"/>
    <mergeCell ref="AK5:AM5"/>
    <mergeCell ref="AK9:AK10"/>
    <mergeCell ref="AN9:AN10"/>
    <mergeCell ref="AO13:AO14"/>
    <mergeCell ref="AP13:AP14"/>
    <mergeCell ref="AQ13:AQ14"/>
    <mergeCell ref="A5:A6"/>
    <mergeCell ref="C5:C6"/>
    <mergeCell ref="D5:D6"/>
    <mergeCell ref="B5:B6"/>
    <mergeCell ref="AQ5:AQ6"/>
    <mergeCell ref="AM9:AM10"/>
    <mergeCell ref="AO5:AO6"/>
    <mergeCell ref="AP5:AP6"/>
    <mergeCell ref="AL9:AL10"/>
    <mergeCell ref="A9:A10"/>
    <mergeCell ref="B9:B10"/>
    <mergeCell ref="C9:C10"/>
    <mergeCell ref="D9:D10"/>
    <mergeCell ref="AT5:AT6"/>
    <mergeCell ref="AO9:AO10"/>
    <mergeCell ref="AP9:AP10"/>
    <mergeCell ref="AQ9:AQ10"/>
    <mergeCell ref="AR9:AR10"/>
    <mergeCell ref="AS9:AS10"/>
    <mergeCell ref="AS5:AS6"/>
    <mergeCell ref="AR5:AR6"/>
    <mergeCell ref="AO20:AO21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D20:D21"/>
    <mergeCell ref="AK20:AK21"/>
    <mergeCell ref="AL20:AL21"/>
    <mergeCell ref="AM20:AM21"/>
    <mergeCell ref="AN20:AN21"/>
  </mergeCells>
  <phoneticPr fontId="47" type="noConversion"/>
  <conditionalFormatting sqref="F5:AJ6 F13:G14 F9:AJ10 H11:AJ14 F16:G21">
    <cfRule type="expression" dxfId="79" priority="25" stopIfTrue="1">
      <formula>IF(WEEKDAY(F$5)=1,TRUE,FALSE)</formula>
    </cfRule>
  </conditionalFormatting>
  <conditionalFormatting sqref="F13:G14 F9:AJ10 H11:AJ14">
    <cfRule type="expression" dxfId="78" priority="22" stopIfTrue="1">
      <formula>IF(WEEKDAY(F$5)=1,TRUE,FALSE)</formula>
    </cfRule>
  </conditionalFormatting>
  <conditionalFormatting sqref="F16:G21">
    <cfRule type="expression" dxfId="77" priority="5" stopIfTrue="1">
      <formula>IF(WEEKDAY(F$5)=1,TRUE,FALSE)</formula>
    </cfRule>
  </conditionalFormatting>
  <conditionalFormatting sqref="F11:G12">
    <cfRule type="expression" dxfId="76" priority="4" stopIfTrue="1">
      <formula>IF(WEEKDAY(F$5)=1,TRUE,FALSE)</formula>
    </cfRule>
  </conditionalFormatting>
  <conditionalFormatting sqref="F11:G12">
    <cfRule type="expression" dxfId="75" priority="3" stopIfTrue="1">
      <formula>IF(WEEKDAY(F$5)=1,TRUE,FALSE)</formula>
    </cfRule>
  </conditionalFormatting>
  <conditionalFormatting sqref="H16:AJ21">
    <cfRule type="expression" dxfId="74" priority="2" stopIfTrue="1">
      <formula>IF(WEEKDAY(H$5)=1,TRUE,FALSE)</formula>
    </cfRule>
  </conditionalFormatting>
  <conditionalFormatting sqref="H16:AJ21">
    <cfRule type="expression" dxfId="73" priority="1" stopIfTrue="1">
      <formula>IF(WEEKDAY(H$5)=1,TRUE,FALSE)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E5" sqref="E5:E6"/>
      <selection pane="topRight" activeCell="E5" sqref="E5:E6"/>
      <selection pane="bottomLeft" activeCell="E5" sqref="E5:E6"/>
      <selection pane="bottomRight" activeCell="S20" activeCellId="1" sqref="S14 S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257" t="str">
        <f>"BẢNG THANH TOÁN LƯƠNG THÁNG"&amp;" "&amp;TEXT($E$4,"mm")&amp;" / "&amp;TEXT($E$4,"yyyy")</f>
        <v>BẢNG THANH TOÁN LƯƠNG THÁNG 05 / 2011</v>
      </c>
      <c r="E1" s="257"/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8"/>
      <c r="R1" s="264" t="s">
        <v>185</v>
      </c>
      <c r="S1" s="265"/>
      <c r="T1" s="26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174"/>
      <c r="N2" s="47"/>
      <c r="O2" s="47"/>
      <c r="P2" s="47"/>
      <c r="Q2" s="47"/>
      <c r="R2" s="47"/>
      <c r="S2" s="47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174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-5'!$E$4</f>
        <v>40664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59" t="s">
        <v>19</v>
      </c>
      <c r="B5" s="259" t="s">
        <v>20</v>
      </c>
      <c r="C5" s="224" t="s">
        <v>1</v>
      </c>
      <c r="D5" s="224" t="s">
        <v>2</v>
      </c>
      <c r="E5" s="227" t="s">
        <v>56</v>
      </c>
      <c r="F5" s="269" t="s">
        <v>26</v>
      </c>
      <c r="G5" s="271"/>
      <c r="H5" s="271"/>
      <c r="I5" s="271"/>
      <c r="J5" s="271"/>
      <c r="K5" s="270"/>
      <c r="L5" s="261" t="s">
        <v>57</v>
      </c>
      <c r="M5" s="261" t="s">
        <v>5</v>
      </c>
      <c r="N5" s="224" t="s">
        <v>6</v>
      </c>
      <c r="O5" s="224"/>
      <c r="P5" s="224"/>
      <c r="Q5" s="261" t="s">
        <v>7</v>
      </c>
      <c r="R5" s="261" t="s">
        <v>8</v>
      </c>
      <c r="S5" s="261" t="s">
        <v>9</v>
      </c>
      <c r="T5" s="225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0"/>
      <c r="B6" s="260"/>
      <c r="C6" s="224"/>
      <c r="D6" s="224"/>
      <c r="E6" s="227"/>
      <c r="F6" s="269" t="s">
        <v>59</v>
      </c>
      <c r="G6" s="270"/>
      <c r="H6" s="269" t="s">
        <v>158</v>
      </c>
      <c r="I6" s="271"/>
      <c r="J6" s="272" t="s">
        <v>27</v>
      </c>
      <c r="K6" s="261" t="s">
        <v>4</v>
      </c>
      <c r="L6" s="262"/>
      <c r="M6" s="262"/>
      <c r="N6" s="267" t="s">
        <v>12</v>
      </c>
      <c r="O6" s="261" t="s">
        <v>13</v>
      </c>
      <c r="P6" s="261" t="s">
        <v>34</v>
      </c>
      <c r="Q6" s="262"/>
      <c r="R6" s="262"/>
      <c r="S6" s="262"/>
      <c r="T6" s="226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0"/>
      <c r="B7" s="260"/>
      <c r="C7" s="261"/>
      <c r="D7" s="261"/>
      <c r="E7" s="227"/>
      <c r="F7" s="34" t="s">
        <v>40</v>
      </c>
      <c r="G7" s="35" t="s">
        <v>18</v>
      </c>
      <c r="H7" s="171" t="s">
        <v>40</v>
      </c>
      <c r="I7" s="128" t="s">
        <v>18</v>
      </c>
      <c r="J7" s="273"/>
      <c r="K7" s="262"/>
      <c r="L7" s="263"/>
      <c r="M7" s="263"/>
      <c r="N7" s="268"/>
      <c r="O7" s="262"/>
      <c r="P7" s="262"/>
      <c r="Q7" s="262"/>
      <c r="R7" s="262"/>
      <c r="S7" s="262"/>
      <c r="T7" s="226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" si="0">VLOOKUP(B10,DS,2,0)</f>
        <v>Lê Thị Dung</v>
      </c>
      <c r="D10" s="116" t="str">
        <f t="shared" ref="D10" si="1">VLOOKUP(B10,DS,3,0)</f>
        <v>Giám Đốc</v>
      </c>
      <c r="E10" s="90">
        <f t="shared" ref="E10" si="2">VLOOKUP(B10,DS,4,0)</f>
        <v>2500000</v>
      </c>
      <c r="F10" s="92">
        <f>VLOOKUP(B10,'CC -5'!$B$8:$AS$21,36,0)</f>
        <v>25</v>
      </c>
      <c r="G10" s="145">
        <f t="shared" ref="G10" si="3">ROUND(E10/$U$2*F10,0)</f>
        <v>2500000</v>
      </c>
      <c r="H10" s="92">
        <f>(VLOOKUP(B10,'CC -5'!$B$8:$AS$21,37,0)+VLOOKUP(B10,'CC -5'!$B$8:$AS$21,38,0))</f>
        <v>0</v>
      </c>
      <c r="I10" s="145">
        <f t="shared" ref="I10" si="4">ROUND(E10/$U$2*H10,0)</f>
        <v>0</v>
      </c>
      <c r="J10" s="93">
        <f t="shared" ref="J10" si="5">F10+H10</f>
        <v>25</v>
      </c>
      <c r="K10" s="39">
        <f>G10+I10</f>
        <v>2500000</v>
      </c>
      <c r="L10" s="90">
        <f t="shared" ref="L10" si="6">+F10*15000</f>
        <v>375000</v>
      </c>
      <c r="M10" s="40">
        <f t="shared" ref="M10" si="7">K10+L10</f>
        <v>2875000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2875000</v>
      </c>
      <c r="R10" s="39">
        <f>VLOOKUP(B10,DS,23,0)</f>
        <v>0</v>
      </c>
      <c r="S10" s="45">
        <f t="shared" ref="S10" si="9">Q10-R10</f>
        <v>2875000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ref="C11:C12" si="10">VLOOKUP(B11,DS,2,0)</f>
        <v>Phan Văn Hiền</v>
      </c>
      <c r="D11" s="116" t="str">
        <f t="shared" ref="D11:D12" si="11">VLOOKUP(B11,DS,3,0)</f>
        <v>Quản Đốc</v>
      </c>
      <c r="E11" s="90">
        <f t="shared" ref="E11:E12" si="12">VLOOKUP(B11,DS,4,0)</f>
        <v>2000000</v>
      </c>
      <c r="F11" s="92">
        <f>VLOOKUP(B11,'CC -5'!$B$8:$AS$21,36,0)</f>
        <v>25</v>
      </c>
      <c r="G11" s="145">
        <f t="shared" ref="G11:G12" si="13">ROUND(E11/$U$2*F11,0)</f>
        <v>2000000</v>
      </c>
      <c r="H11" s="92">
        <f>(VLOOKUP(B11,'CC -5'!$B$8:$AS$21,37,0)+VLOOKUP(B11,'CC -5'!$B$8:$AS$21,38,0))</f>
        <v>0</v>
      </c>
      <c r="I11" s="145">
        <f t="shared" ref="I11:I12" si="14">ROUND(E11/$U$2*H11,0)</f>
        <v>0</v>
      </c>
      <c r="J11" s="93">
        <f t="shared" ref="J11:J12" si="15">F11+H11</f>
        <v>25</v>
      </c>
      <c r="K11" s="39">
        <f t="shared" ref="K11:K12" si="16">G11+I11</f>
        <v>2000000</v>
      </c>
      <c r="L11" s="90">
        <f t="shared" ref="L11:L12" si="17">+F11*15000</f>
        <v>375000</v>
      </c>
      <c r="M11" s="40">
        <f t="shared" ref="M11:M12" si="18">K11+L11</f>
        <v>2375000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2375000</v>
      </c>
      <c r="R11" s="39">
        <f>VLOOKUP(B11,DS,23,0)</f>
        <v>0</v>
      </c>
      <c r="S11" s="45">
        <f t="shared" ref="S11:S12" si="20">Q11-R11</f>
        <v>2375000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10"/>
        <v>Nguyễn Thị Thu Sương</v>
      </c>
      <c r="D12" s="116" t="str">
        <f t="shared" si="11"/>
        <v>Kinh Doanh</v>
      </c>
      <c r="E12" s="90">
        <f t="shared" si="12"/>
        <v>2000000</v>
      </c>
      <c r="F12" s="92">
        <f>VLOOKUP(B12,'CC -5'!$B$8:$AS$21,36,0)</f>
        <v>25</v>
      </c>
      <c r="G12" s="145">
        <f t="shared" si="13"/>
        <v>2000000</v>
      </c>
      <c r="H12" s="92">
        <f>(VLOOKUP(B12,'CC -5'!$B$8:$AS$21,37,0)+VLOOKUP(B12,'CC -5'!$B$8:$AS$21,38,0))</f>
        <v>0</v>
      </c>
      <c r="I12" s="145">
        <f t="shared" si="14"/>
        <v>0</v>
      </c>
      <c r="J12" s="93">
        <f t="shared" si="15"/>
        <v>25</v>
      </c>
      <c r="K12" s="39">
        <f t="shared" si="16"/>
        <v>2000000</v>
      </c>
      <c r="L12" s="90">
        <f t="shared" si="17"/>
        <v>375000</v>
      </c>
      <c r="M12" s="40">
        <f t="shared" si="18"/>
        <v>2375000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2375000</v>
      </c>
      <c r="R12" s="39">
        <f>VLOOKUP(B12,DS,23,0)</f>
        <v>0</v>
      </c>
      <c r="S12" s="45">
        <f t="shared" si="20"/>
        <v>2375000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56" t="s">
        <v>25</v>
      </c>
      <c r="B14" s="256"/>
      <c r="C14" s="256"/>
      <c r="D14" s="256"/>
      <c r="E14" s="140">
        <f>SUM(E9:E12)</f>
        <v>6500000</v>
      </c>
      <c r="F14" s="140"/>
      <c r="G14" s="140">
        <f>SUM(G9:G12)</f>
        <v>6500000</v>
      </c>
      <c r="H14" s="140"/>
      <c r="I14" s="140">
        <f>SUM(I9:I12)</f>
        <v>0</v>
      </c>
      <c r="J14" s="140"/>
      <c r="K14" s="140">
        <f t="shared" ref="K14:S14" si="21">SUM(K9:K12)</f>
        <v>6500000</v>
      </c>
      <c r="L14" s="140">
        <f t="shared" si="21"/>
        <v>1125000</v>
      </c>
      <c r="M14" s="140">
        <f t="shared" si="21"/>
        <v>7625000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7625000</v>
      </c>
      <c r="R14" s="140">
        <f t="shared" si="21"/>
        <v>0</v>
      </c>
      <c r="S14" s="140">
        <f t="shared" si="21"/>
        <v>7625000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" si="22">VLOOKUP(B16,DS,2,0)</f>
        <v>Nguyễn Trường Giang</v>
      </c>
      <c r="D16" s="116" t="str">
        <f t="shared" ref="D16" si="23">VLOOKUP(B16,DS,3,0)</f>
        <v>Thợ in</v>
      </c>
      <c r="E16" s="90">
        <f t="shared" ref="E16" si="24">VLOOKUP(B16,DS,4,0)</f>
        <v>1800000</v>
      </c>
      <c r="F16" s="92">
        <f>VLOOKUP(B16,'CC -5'!$B$8:$AS$21,36,0)</f>
        <v>25</v>
      </c>
      <c r="G16" s="145">
        <f t="shared" ref="G16" si="25">ROUND(E16/$U$2*F16,0)</f>
        <v>1800000</v>
      </c>
      <c r="H16" s="92">
        <f>(VLOOKUP(B16,'CC -5'!$B$8:$AS$21,37,0)+VLOOKUP(B16,'CC -5'!$B$8:$AS$21,38,0))</f>
        <v>0</v>
      </c>
      <c r="I16" s="145">
        <f t="shared" ref="I16" si="26">ROUND(E16/$U$2*H16,0)</f>
        <v>0</v>
      </c>
      <c r="J16" s="146">
        <f t="shared" ref="J16" si="27">F16+H16</f>
        <v>25</v>
      </c>
      <c r="K16" s="39">
        <f t="shared" ref="K16" si="28">G16+I16</f>
        <v>1800000</v>
      </c>
      <c r="L16" s="90">
        <f t="shared" ref="L16" si="29">+F16*15000</f>
        <v>375000</v>
      </c>
      <c r="M16" s="40">
        <f t="shared" ref="M16" si="30">K16+L16</f>
        <v>2175000</v>
      </c>
      <c r="N16" s="40">
        <f>IF(VLOOKUP(B16,DS,9,0)="x",'L - 5'!E16*$N$4,0)</f>
        <v>0</v>
      </c>
      <c r="O16" s="40">
        <f t="shared" ref="O16" si="31">IF(VLOOKUP(B16,DS,9,0)="x",E16*0.015,0)</f>
        <v>0</v>
      </c>
      <c r="P16" s="40">
        <f t="shared" ref="P16" si="32">IF(VLOOKUP(B16,DS,9,0)="x",E16*0.01,0)</f>
        <v>0</v>
      </c>
      <c r="Q16" s="39">
        <f>M16-SUM(N16:P16)</f>
        <v>2175000</v>
      </c>
      <c r="R16" s="39">
        <f t="shared" ref="R16" si="33">VLOOKUP(B16,DS,23,0)</f>
        <v>0</v>
      </c>
      <c r="S16" s="45">
        <f>Q16-R16</f>
        <v>2175000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18" si="34">VLOOKUP(B17,DS,2,0)</f>
        <v>Đoàn Hồng Phong</v>
      </c>
      <c r="D17" s="116" t="str">
        <f t="shared" ref="D17:D18" si="35">VLOOKUP(B17,DS,3,0)</f>
        <v>Thợ đóng - xả</v>
      </c>
      <c r="E17" s="90">
        <f t="shared" ref="E17:E18" si="36">VLOOKUP(B17,DS,4,0)</f>
        <v>1800000</v>
      </c>
      <c r="F17" s="92">
        <f>VLOOKUP(B17,'CC -5'!$B$8:$AS$21,36,0)</f>
        <v>25</v>
      </c>
      <c r="G17" s="145">
        <f t="shared" ref="G17:G18" si="37">ROUND(E17/$U$2*F17,0)</f>
        <v>1800000</v>
      </c>
      <c r="H17" s="92">
        <f>(VLOOKUP(B17,'CC -5'!$B$8:$AS$21,37,0)+VLOOKUP(B17,'CC -5'!$B$8:$AS$21,38,0))</f>
        <v>0</v>
      </c>
      <c r="I17" s="145">
        <f t="shared" ref="I17:I18" si="38">ROUND(E17/$U$2*H17,0)</f>
        <v>0</v>
      </c>
      <c r="J17" s="146">
        <f t="shared" ref="J17:J18" si="39">F17+H17</f>
        <v>25</v>
      </c>
      <c r="K17" s="39">
        <f t="shared" ref="K17:K18" si="40">G17+I17</f>
        <v>1800000</v>
      </c>
      <c r="L17" s="90">
        <f t="shared" ref="L17:L18" si="41">+F17*15000</f>
        <v>375000</v>
      </c>
      <c r="M17" s="40">
        <f t="shared" ref="M17:M18" si="42">K17+L17</f>
        <v>2175000</v>
      </c>
      <c r="N17" s="40">
        <f>IF(VLOOKUP(B17,DS,9,0)="x",'L - 5'!E17*$N$4,0)</f>
        <v>0</v>
      </c>
      <c r="O17" s="40">
        <f t="shared" ref="O17:O18" si="43">IF(VLOOKUP(B17,DS,9,0)="x",E17*0.015,0)</f>
        <v>0</v>
      </c>
      <c r="P17" s="40">
        <f t="shared" ref="P17:P18" si="44">IF(VLOOKUP(B17,DS,9,0)="x",E17*0.01,0)</f>
        <v>0</v>
      </c>
      <c r="Q17" s="39">
        <f t="shared" ref="Q17:Q18" si="45">M17-SUM(N17:P17)</f>
        <v>2175000</v>
      </c>
      <c r="R17" s="39">
        <f t="shared" ref="R17:R18" si="46">VLOOKUP(B17,DS,23,0)</f>
        <v>0</v>
      </c>
      <c r="S17" s="45">
        <f t="shared" ref="S17:S18" si="47">Q17-R17</f>
        <v>2175000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34"/>
        <v>Trần Hữu Tình</v>
      </c>
      <c r="D18" s="116" t="str">
        <f t="shared" si="35"/>
        <v>Công nhân</v>
      </c>
      <c r="E18" s="90">
        <f t="shared" si="36"/>
        <v>1500000</v>
      </c>
      <c r="F18" s="92">
        <f>VLOOKUP(B18,'CC -5'!$B$8:$AS$21,36,0)</f>
        <v>25</v>
      </c>
      <c r="G18" s="145">
        <f t="shared" si="37"/>
        <v>1500000</v>
      </c>
      <c r="H18" s="92">
        <f>(VLOOKUP(B18,'CC -5'!$B$8:$AS$21,37,0)+VLOOKUP(B18,'CC -5'!$B$8:$AS$21,38,0))</f>
        <v>0</v>
      </c>
      <c r="I18" s="145">
        <f t="shared" si="38"/>
        <v>0</v>
      </c>
      <c r="J18" s="146">
        <f t="shared" si="39"/>
        <v>25</v>
      </c>
      <c r="K18" s="39">
        <f t="shared" si="40"/>
        <v>1500000</v>
      </c>
      <c r="L18" s="90">
        <f t="shared" si="41"/>
        <v>375000</v>
      </c>
      <c r="M18" s="40">
        <f t="shared" si="42"/>
        <v>1875000</v>
      </c>
      <c r="N18" s="40">
        <f>IF(VLOOKUP(B18,DS,9,0)="x",'L - 5'!E18*$N$4,0)</f>
        <v>0</v>
      </c>
      <c r="O18" s="40">
        <f t="shared" si="43"/>
        <v>0</v>
      </c>
      <c r="P18" s="40">
        <f t="shared" si="44"/>
        <v>0</v>
      </c>
      <c r="Q18" s="39">
        <f t="shared" si="45"/>
        <v>1875000</v>
      </c>
      <c r="R18" s="39">
        <f t="shared" si="46"/>
        <v>0</v>
      </c>
      <c r="S18" s="45">
        <f t="shared" si="47"/>
        <v>1875000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56" t="s">
        <v>25</v>
      </c>
      <c r="B20" s="256"/>
      <c r="C20" s="256"/>
      <c r="D20" s="256"/>
      <c r="E20" s="140">
        <f>SUM(E15:E19)</f>
        <v>5100000</v>
      </c>
      <c r="F20" s="140"/>
      <c r="G20" s="140">
        <f t="shared" ref="G20:S20" si="48">SUM(G15:G19)</f>
        <v>5100000</v>
      </c>
      <c r="H20" s="140"/>
      <c r="I20" s="140">
        <f t="shared" si="48"/>
        <v>0</v>
      </c>
      <c r="J20" s="140"/>
      <c r="K20" s="140">
        <f t="shared" si="48"/>
        <v>5100000</v>
      </c>
      <c r="L20" s="140">
        <f t="shared" si="48"/>
        <v>1125000</v>
      </c>
      <c r="M20" s="140">
        <f t="shared" si="48"/>
        <v>6225000</v>
      </c>
      <c r="N20" s="140">
        <f t="shared" si="48"/>
        <v>0</v>
      </c>
      <c r="O20" s="140">
        <f t="shared" si="48"/>
        <v>0</v>
      </c>
      <c r="P20" s="140">
        <f t="shared" si="48"/>
        <v>0</v>
      </c>
      <c r="Q20" s="140">
        <f t="shared" si="48"/>
        <v>6225000</v>
      </c>
      <c r="R20" s="140">
        <f t="shared" si="48"/>
        <v>0</v>
      </c>
      <c r="S20" s="140">
        <f t="shared" si="48"/>
        <v>6225000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05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N5:P6 L5 L23 J6:K7 L7 A26:T59 U32:U59 N19:S19 V26:IK59 W10:W13 J19:L19 A60:IK65327 Q10:S13 AF15:IK15 V14:IK14 A10:B14 D14:T14 D20:T20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0:K13 K16:K18" name="Range1_6"/>
    <protectedRange password="CC78" sqref="A2:A3" name="Range1_2_1_3"/>
  </protectedRanges>
  <autoFilter ref="A7:AE10"/>
  <mergeCells count="24"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A14:D14"/>
    <mergeCell ref="A20:D20"/>
    <mergeCell ref="D1:Q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M1" sqref="AM1:AS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2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3" t="s">
        <v>185</v>
      </c>
      <c r="AN1" s="254"/>
      <c r="AO1" s="254"/>
      <c r="AP1" s="254"/>
      <c r="AQ1" s="254"/>
      <c r="AR1" s="254"/>
      <c r="AS1" s="25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40695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49" t="s">
        <v>28</v>
      </c>
      <c r="B5" s="249" t="s">
        <v>3</v>
      </c>
      <c r="C5" s="249" t="s">
        <v>1</v>
      </c>
      <c r="D5" s="245" t="s">
        <v>29</v>
      </c>
      <c r="E5" s="249" t="s">
        <v>30</v>
      </c>
      <c r="F5" s="118">
        <f>+E4</f>
        <v>40695</v>
      </c>
      <c r="G5" s="118">
        <f t="shared" ref="G5:AJ5" si="0">F5+1</f>
        <v>40696</v>
      </c>
      <c r="H5" s="118">
        <f t="shared" si="0"/>
        <v>40697</v>
      </c>
      <c r="I5" s="118">
        <f t="shared" si="0"/>
        <v>40698</v>
      </c>
      <c r="J5" s="118">
        <f t="shared" si="0"/>
        <v>40699</v>
      </c>
      <c r="K5" s="118">
        <f t="shared" si="0"/>
        <v>40700</v>
      </c>
      <c r="L5" s="118">
        <f t="shared" si="0"/>
        <v>40701</v>
      </c>
      <c r="M5" s="118">
        <f t="shared" si="0"/>
        <v>40702</v>
      </c>
      <c r="N5" s="118">
        <f t="shared" si="0"/>
        <v>40703</v>
      </c>
      <c r="O5" s="118">
        <f t="shared" si="0"/>
        <v>40704</v>
      </c>
      <c r="P5" s="118">
        <f t="shared" si="0"/>
        <v>40705</v>
      </c>
      <c r="Q5" s="118">
        <f t="shared" si="0"/>
        <v>40706</v>
      </c>
      <c r="R5" s="118">
        <f t="shared" si="0"/>
        <v>40707</v>
      </c>
      <c r="S5" s="118">
        <f t="shared" si="0"/>
        <v>40708</v>
      </c>
      <c r="T5" s="118">
        <f t="shared" si="0"/>
        <v>40709</v>
      </c>
      <c r="U5" s="118">
        <f t="shared" si="0"/>
        <v>40710</v>
      </c>
      <c r="V5" s="118">
        <f t="shared" si="0"/>
        <v>40711</v>
      </c>
      <c r="W5" s="118">
        <f t="shared" si="0"/>
        <v>40712</v>
      </c>
      <c r="X5" s="118">
        <f t="shared" si="0"/>
        <v>40713</v>
      </c>
      <c r="Y5" s="118">
        <f t="shared" si="0"/>
        <v>40714</v>
      </c>
      <c r="Z5" s="118">
        <f t="shared" si="0"/>
        <v>40715</v>
      </c>
      <c r="AA5" s="118">
        <f t="shared" si="0"/>
        <v>40716</v>
      </c>
      <c r="AB5" s="118">
        <f t="shared" si="0"/>
        <v>40717</v>
      </c>
      <c r="AC5" s="118">
        <f t="shared" si="0"/>
        <v>40718</v>
      </c>
      <c r="AD5" s="118">
        <f t="shared" si="0"/>
        <v>40719</v>
      </c>
      <c r="AE5" s="118">
        <f t="shared" si="0"/>
        <v>40720</v>
      </c>
      <c r="AF5" s="118">
        <f t="shared" si="0"/>
        <v>40721</v>
      </c>
      <c r="AG5" s="118">
        <f t="shared" si="0"/>
        <v>40722</v>
      </c>
      <c r="AH5" s="118">
        <f>AG5+1</f>
        <v>40723</v>
      </c>
      <c r="AI5" s="118">
        <f t="shared" si="0"/>
        <v>40724</v>
      </c>
      <c r="AJ5" s="118">
        <f t="shared" si="0"/>
        <v>40725</v>
      </c>
      <c r="AK5" s="250" t="s">
        <v>15</v>
      </c>
      <c r="AL5" s="251"/>
      <c r="AM5" s="252"/>
      <c r="AN5" s="247" t="s">
        <v>45</v>
      </c>
      <c r="AO5" s="247" t="s">
        <v>41</v>
      </c>
      <c r="AP5" s="247" t="s">
        <v>42</v>
      </c>
      <c r="AQ5" s="247" t="s">
        <v>43</v>
      </c>
      <c r="AR5" s="247" t="s">
        <v>44</v>
      </c>
      <c r="AS5" s="245" t="s">
        <v>0</v>
      </c>
      <c r="AT5" s="24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6"/>
      <c r="B6" s="246"/>
      <c r="C6" s="246"/>
      <c r="D6" s="246"/>
      <c r="E6" s="246"/>
      <c r="F6" s="175" t="str">
        <f>CHOOSE(WEEKDAY(F5),"C.Nhật","T.Hai","T.Ba","T.Tư","T.Năm","T.Sáu","T.Bảy")</f>
        <v>T.Tư</v>
      </c>
      <c r="G6" s="175" t="str">
        <f t="shared" ref="G6:AJ6" si="1">CHOOSE(WEEKDAY(G5),"C.Nhật","T.Hai","T.Ba","T.Tư","T.Năm","T.Sáu","T.Bảy")</f>
        <v>T.Năm</v>
      </c>
      <c r="H6" s="175" t="str">
        <f t="shared" si="1"/>
        <v>T.Sáu</v>
      </c>
      <c r="I6" s="175" t="str">
        <f t="shared" si="1"/>
        <v>T.Bảy</v>
      </c>
      <c r="J6" s="175" t="str">
        <f t="shared" si="1"/>
        <v>C.Nhật</v>
      </c>
      <c r="K6" s="175" t="str">
        <f t="shared" si="1"/>
        <v>T.Hai</v>
      </c>
      <c r="L6" s="175" t="str">
        <f t="shared" si="1"/>
        <v>T.Ba</v>
      </c>
      <c r="M6" s="175" t="str">
        <f t="shared" si="1"/>
        <v>T.Tư</v>
      </c>
      <c r="N6" s="175" t="str">
        <f t="shared" si="1"/>
        <v>T.Năm</v>
      </c>
      <c r="O6" s="175" t="str">
        <f t="shared" si="1"/>
        <v>T.Sáu</v>
      </c>
      <c r="P6" s="175" t="str">
        <f t="shared" si="1"/>
        <v>T.Bảy</v>
      </c>
      <c r="Q6" s="175" t="str">
        <f t="shared" si="1"/>
        <v>C.Nhật</v>
      </c>
      <c r="R6" s="175" t="str">
        <f t="shared" si="1"/>
        <v>T.Hai</v>
      </c>
      <c r="S6" s="175" t="str">
        <f t="shared" si="1"/>
        <v>T.Ba</v>
      </c>
      <c r="T6" s="175" t="str">
        <f t="shared" si="1"/>
        <v>T.Tư</v>
      </c>
      <c r="U6" s="175" t="str">
        <f t="shared" si="1"/>
        <v>T.Năm</v>
      </c>
      <c r="V6" s="175" t="str">
        <f t="shared" si="1"/>
        <v>T.Sáu</v>
      </c>
      <c r="W6" s="175" t="str">
        <f t="shared" si="1"/>
        <v>T.Bảy</v>
      </c>
      <c r="X6" s="175" t="str">
        <f t="shared" si="1"/>
        <v>C.Nhật</v>
      </c>
      <c r="Y6" s="175" t="str">
        <f t="shared" si="1"/>
        <v>T.Hai</v>
      </c>
      <c r="Z6" s="175" t="str">
        <f t="shared" si="1"/>
        <v>T.Ba</v>
      </c>
      <c r="AA6" s="175" t="str">
        <f t="shared" si="1"/>
        <v>T.Tư</v>
      </c>
      <c r="AB6" s="175" t="str">
        <f t="shared" si="1"/>
        <v>T.Năm</v>
      </c>
      <c r="AC6" s="175" t="str">
        <f t="shared" si="1"/>
        <v>T.Sáu</v>
      </c>
      <c r="AD6" s="175" t="str">
        <f t="shared" si="1"/>
        <v>T.Bảy</v>
      </c>
      <c r="AE6" s="175" t="str">
        <f t="shared" si="1"/>
        <v>C.Nhật</v>
      </c>
      <c r="AF6" s="175" t="str">
        <f t="shared" si="1"/>
        <v>T.Hai</v>
      </c>
      <c r="AG6" s="175" t="str">
        <f t="shared" si="1"/>
        <v>T.Ba</v>
      </c>
      <c r="AH6" s="175" t="str">
        <f t="shared" si="1"/>
        <v>T.Tư</v>
      </c>
      <c r="AI6" s="175" t="str">
        <f t="shared" si="1"/>
        <v>T.Năm</v>
      </c>
      <c r="AJ6" s="175" t="str">
        <f t="shared" si="1"/>
        <v>T.Sáu</v>
      </c>
      <c r="AK6" s="176" t="s">
        <v>16</v>
      </c>
      <c r="AL6" s="176" t="s">
        <v>31</v>
      </c>
      <c r="AM6" s="177" t="s">
        <v>17</v>
      </c>
      <c r="AN6" s="248"/>
      <c r="AO6" s="248"/>
      <c r="AP6" s="248"/>
      <c r="AQ6" s="248"/>
      <c r="AR6" s="248"/>
      <c r="AS6" s="246"/>
      <c r="AT6" s="24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9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38">
        <v>1</v>
      </c>
      <c r="B9" s="238" t="s">
        <v>161</v>
      </c>
      <c r="C9" s="240" t="str">
        <f>VLOOKUP(B9,DS,2,0)</f>
        <v>Lê Thị Dung</v>
      </c>
      <c r="D9" s="228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/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/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/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/>
      <c r="AF9" s="143">
        <v>8</v>
      </c>
      <c r="AG9" s="143">
        <v>8</v>
      </c>
      <c r="AH9" s="143">
        <v>8</v>
      </c>
      <c r="AI9" s="143">
        <v>8</v>
      </c>
      <c r="AJ9" s="143"/>
      <c r="AK9" s="230">
        <f>((SUM(F9:AJ9))/8)-(SUMIF($F$6:$AJ$6,"C.Nhật",F9:AJ9)/8)</f>
        <v>26</v>
      </c>
      <c r="AL9" s="230">
        <f>SUM(F10:AJ10)/8*1.5</f>
        <v>0</v>
      </c>
      <c r="AM9" s="232">
        <f>SUMIF($F$6:$AJ$6,"C.Nhật",$F9:$AJ10)/8*2</f>
        <v>0</v>
      </c>
      <c r="AN9" s="234">
        <f>SUM(AK9:AM10)</f>
        <v>26</v>
      </c>
      <c r="AO9" s="236">
        <v>0</v>
      </c>
      <c r="AP9" s="234"/>
      <c r="AQ9" s="234"/>
      <c r="AR9" s="234"/>
      <c r="AS9" s="243"/>
      <c r="AT9" s="19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39"/>
      <c r="B10" s="239"/>
      <c r="C10" s="241"/>
      <c r="D10" s="22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31"/>
      <c r="AL10" s="231"/>
      <c r="AM10" s="233"/>
      <c r="AN10" s="235"/>
      <c r="AO10" s="237"/>
      <c r="AP10" s="235"/>
      <c r="AQ10" s="235"/>
      <c r="AR10" s="235"/>
      <c r="AS10" s="244"/>
      <c r="AT10" s="19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38">
        <f>A7+1</f>
        <v>2</v>
      </c>
      <c r="B11" s="238" t="s">
        <v>162</v>
      </c>
      <c r="C11" s="240" t="str">
        <f>VLOOKUP(B11,DS,2,0)</f>
        <v>Phan Văn Hiền</v>
      </c>
      <c r="D11" s="228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/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/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/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/>
      <c r="AF11" s="143">
        <v>8</v>
      </c>
      <c r="AG11" s="143">
        <v>8</v>
      </c>
      <c r="AH11" s="143">
        <v>8</v>
      </c>
      <c r="AI11" s="143">
        <v>8</v>
      </c>
      <c r="AJ11" s="143"/>
      <c r="AK11" s="230">
        <f t="shared" ref="AK11" si="2">((SUM(F11:AJ11))/8)-(SUMIF($F$6:$AJ$6,"C.Nhật",F11:AJ11)/8)</f>
        <v>26</v>
      </c>
      <c r="AL11" s="230">
        <f t="shared" ref="AL11" si="3">SUM(F12:AJ12)/8*1.5</f>
        <v>0</v>
      </c>
      <c r="AM11" s="232">
        <f t="shared" ref="AM11:AM13" si="4">SUMIF($F$6:$AJ$6,"C.Nhật",$F11:$AJ12)/8*2</f>
        <v>0</v>
      </c>
      <c r="AN11" s="234">
        <f t="shared" ref="AN11" si="5">SUM(AK11:AM12)</f>
        <v>26</v>
      </c>
      <c r="AO11" s="236">
        <v>0</v>
      </c>
      <c r="AP11" s="234"/>
      <c r="AQ11" s="234"/>
      <c r="AR11" s="234"/>
      <c r="AS11" s="243"/>
      <c r="AT11" s="19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39"/>
      <c r="B12" s="239"/>
      <c r="C12" s="241"/>
      <c r="D12" s="22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31"/>
      <c r="AL12" s="231"/>
      <c r="AM12" s="233"/>
      <c r="AN12" s="235"/>
      <c r="AO12" s="237"/>
      <c r="AP12" s="235"/>
      <c r="AQ12" s="235"/>
      <c r="AR12" s="235"/>
      <c r="AS12" s="244"/>
      <c r="AT12" s="19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38">
        <f>A9+1</f>
        <v>2</v>
      </c>
      <c r="B13" s="238" t="s">
        <v>183</v>
      </c>
      <c r="C13" s="240" t="str">
        <f>VLOOKUP(B13,DS,2,0)</f>
        <v>Nguyễn Thị Thu Sương</v>
      </c>
      <c r="D13" s="228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/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>
        <v>8</v>
      </c>
      <c r="Q13" s="143"/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>
        <v>8</v>
      </c>
      <c r="X13" s="143"/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>
        <v>8</v>
      </c>
      <c r="AE13" s="143"/>
      <c r="AF13" s="143">
        <v>8</v>
      </c>
      <c r="AG13" s="143">
        <v>8</v>
      </c>
      <c r="AH13" s="143">
        <v>8</v>
      </c>
      <c r="AI13" s="143">
        <v>8</v>
      </c>
      <c r="AJ13" s="143"/>
      <c r="AK13" s="230">
        <f t="shared" ref="AK13" si="6">((SUM(F13:AJ13))/8)-(SUMIF($F$6:$AJ$6,"C.Nhật",F13:AJ13)/8)</f>
        <v>26</v>
      </c>
      <c r="AL13" s="230">
        <f t="shared" ref="AL13" si="7">SUM(F14:AJ14)/8*1.5</f>
        <v>0</v>
      </c>
      <c r="AM13" s="232">
        <f t="shared" si="4"/>
        <v>0</v>
      </c>
      <c r="AN13" s="234">
        <f t="shared" ref="AN13" si="8">SUM(AK13:AM14)</f>
        <v>26</v>
      </c>
      <c r="AO13" s="236">
        <v>0</v>
      </c>
      <c r="AP13" s="234"/>
      <c r="AQ13" s="234"/>
      <c r="AR13" s="234"/>
      <c r="AS13" s="243"/>
      <c r="AT13" s="194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39"/>
      <c r="B14" s="239"/>
      <c r="C14" s="241"/>
      <c r="D14" s="229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31"/>
      <c r="AL14" s="231"/>
      <c r="AM14" s="233"/>
      <c r="AN14" s="235"/>
      <c r="AO14" s="237"/>
      <c r="AP14" s="235"/>
      <c r="AQ14" s="235"/>
      <c r="AR14" s="235"/>
      <c r="AS14" s="244"/>
      <c r="AT14" s="194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38">
        <v>1</v>
      </c>
      <c r="B16" s="238" t="s">
        <v>163</v>
      </c>
      <c r="C16" s="240" t="str">
        <f>VLOOKUP(B16,DS,2,0)</f>
        <v>Nguyễn Trường Giang</v>
      </c>
      <c r="D16" s="228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/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/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/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/>
      <c r="AF16" s="143">
        <v>8</v>
      </c>
      <c r="AG16" s="143">
        <v>8</v>
      </c>
      <c r="AH16" s="143">
        <v>8</v>
      </c>
      <c r="AI16" s="143">
        <v>8</v>
      </c>
      <c r="AJ16" s="143"/>
      <c r="AK16" s="230">
        <f t="shared" ref="AK16" si="9">((SUM(F16:AJ16))/8)-(SUMIF($F$6:$AJ$6,"C.Nhật",F16:AJ16)/8)</f>
        <v>26</v>
      </c>
      <c r="AL16" s="230">
        <f t="shared" ref="AL16" si="10">SUM(F17:AJ17)/8*1.5</f>
        <v>0</v>
      </c>
      <c r="AM16" s="232">
        <f>SUMIF($F$6:$AJ$6,"C.Nhật",$F16:$AJ17)/8*2</f>
        <v>0</v>
      </c>
      <c r="AN16" s="234">
        <f>SUM(AK16:AM17)</f>
        <v>26</v>
      </c>
      <c r="AO16" s="236">
        <v>0</v>
      </c>
      <c r="AP16" s="234"/>
      <c r="AQ16" s="234"/>
      <c r="AR16" s="234"/>
      <c r="AS16" s="243"/>
      <c r="AT16" s="19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39"/>
      <c r="B17" s="239"/>
      <c r="C17" s="241"/>
      <c r="D17" s="22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31"/>
      <c r="AL17" s="231"/>
      <c r="AM17" s="233"/>
      <c r="AN17" s="235"/>
      <c r="AO17" s="237"/>
      <c r="AP17" s="235"/>
      <c r="AQ17" s="235"/>
      <c r="AR17" s="235"/>
      <c r="AS17" s="244"/>
      <c r="AT17" s="19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38">
        <f>A16+1</f>
        <v>2</v>
      </c>
      <c r="B18" s="238" t="s">
        <v>164</v>
      </c>
      <c r="C18" s="240" t="str">
        <f>VLOOKUP(B18,DS,2,0)</f>
        <v>Đoàn Hồng Phong</v>
      </c>
      <c r="D18" s="228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/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/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/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/>
      <c r="AF18" s="143">
        <v>8</v>
      </c>
      <c r="AG18" s="143">
        <v>8</v>
      </c>
      <c r="AH18" s="143">
        <v>8</v>
      </c>
      <c r="AI18" s="143">
        <v>8</v>
      </c>
      <c r="AJ18" s="143"/>
      <c r="AK18" s="230">
        <f t="shared" ref="AK18" si="11">((SUM(F18:AJ18))/8)-(SUMIF($F$6:$AJ$6,"C.Nhật",F18:AJ18)/8)</f>
        <v>26</v>
      </c>
      <c r="AL18" s="230">
        <f t="shared" ref="AL18" si="12">SUM(F19:AJ19)/8*1.5</f>
        <v>0</v>
      </c>
      <c r="AM18" s="232">
        <f>SUMIF($F$6:$AJ$6,"C.Nhật",$F18:$AJ19)/8*2</f>
        <v>0</v>
      </c>
      <c r="AN18" s="234">
        <f t="shared" ref="AN18" si="13">SUM(AK18:AM19)</f>
        <v>26</v>
      </c>
      <c r="AO18" s="236">
        <v>0</v>
      </c>
      <c r="AP18" s="234"/>
      <c r="AQ18" s="234"/>
      <c r="AR18" s="234"/>
      <c r="AS18" s="243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39"/>
      <c r="B19" s="239"/>
      <c r="C19" s="241"/>
      <c r="D19" s="22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31"/>
      <c r="AL19" s="231"/>
      <c r="AM19" s="233"/>
      <c r="AN19" s="235"/>
      <c r="AO19" s="237"/>
      <c r="AP19" s="235"/>
      <c r="AQ19" s="235"/>
      <c r="AR19" s="235"/>
      <c r="AS19" s="244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38">
        <f t="shared" ref="A20" si="14">A18+1</f>
        <v>3</v>
      </c>
      <c r="B20" s="238" t="s">
        <v>165</v>
      </c>
      <c r="C20" s="240" t="str">
        <f>VLOOKUP(B20,DS,2,0)</f>
        <v>Trần Hữu Tình</v>
      </c>
      <c r="D20" s="228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/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/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/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/>
      <c r="AF20" s="143">
        <v>8</v>
      </c>
      <c r="AG20" s="143">
        <v>8</v>
      </c>
      <c r="AH20" s="143">
        <v>8</v>
      </c>
      <c r="AI20" s="143">
        <v>8</v>
      </c>
      <c r="AJ20" s="143"/>
      <c r="AK20" s="230">
        <f t="shared" ref="AK20" si="15">((SUM(F20:AJ20))/8)-(SUMIF($F$6:$AJ$6,"C.Nhật",F20:AJ20)/8)</f>
        <v>26</v>
      </c>
      <c r="AL20" s="230">
        <f t="shared" ref="AL20" si="16">SUM(F21:AJ21)/8*1.5</f>
        <v>0</v>
      </c>
      <c r="AM20" s="232">
        <f>SUMIF($F$6:$AJ$6,"C.Nhật",$F20:$AJ21)/8*2</f>
        <v>0</v>
      </c>
      <c r="AN20" s="234">
        <f t="shared" ref="AN20" si="17">SUM(AK20:AM21)</f>
        <v>26</v>
      </c>
      <c r="AO20" s="236">
        <v>0</v>
      </c>
      <c r="AP20" s="234"/>
      <c r="AQ20" s="234"/>
      <c r="AR20" s="234"/>
      <c r="AS20" s="243"/>
      <c r="AT20" s="19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39"/>
      <c r="B21" s="239"/>
      <c r="C21" s="241"/>
      <c r="D21" s="229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31"/>
      <c r="AL21" s="231"/>
      <c r="AM21" s="233"/>
      <c r="AN21" s="235"/>
      <c r="AO21" s="237"/>
      <c r="AP21" s="235"/>
      <c r="AQ21" s="235"/>
      <c r="AR21" s="235"/>
      <c r="AS21" s="244"/>
      <c r="AT21" s="19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2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2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P13:AP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L13:AL14"/>
    <mergeCell ref="AM13:AM14"/>
    <mergeCell ref="AN13:AN14"/>
    <mergeCell ref="AO13:AO14"/>
    <mergeCell ref="AM9:AM10"/>
    <mergeCell ref="AN9:AN10"/>
    <mergeCell ref="AO9:AO10"/>
    <mergeCell ref="A13:A14"/>
    <mergeCell ref="B13:B14"/>
    <mergeCell ref="C13:C14"/>
    <mergeCell ref="D13:D14"/>
    <mergeCell ref="AK13:AK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Q13:AQ14"/>
    <mergeCell ref="AR13:AR14"/>
    <mergeCell ref="AS13:AS14"/>
    <mergeCell ref="A16:A17"/>
    <mergeCell ref="B16:B17"/>
    <mergeCell ref="C16:C17"/>
    <mergeCell ref="D16:D17"/>
    <mergeCell ref="AK16:AK17"/>
    <mergeCell ref="AL16:AL17"/>
    <mergeCell ref="AS16:AS17"/>
    <mergeCell ref="AM16:AM17"/>
    <mergeCell ref="AN16:AN17"/>
    <mergeCell ref="AO16:AO17"/>
    <mergeCell ref="AP16:AP17"/>
    <mergeCell ref="AQ16:AQ17"/>
    <mergeCell ref="AR16:AR17"/>
    <mergeCell ref="AR20:AR21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20:A21"/>
    <mergeCell ref="B20:B21"/>
    <mergeCell ref="C20:C21"/>
    <mergeCell ref="D20:D21"/>
    <mergeCell ref="AK20:AK21"/>
    <mergeCell ref="AL20:AL21"/>
    <mergeCell ref="AS20:AS21"/>
    <mergeCell ref="AM20:AM21"/>
    <mergeCell ref="AN20:AN21"/>
    <mergeCell ref="AO20:AO21"/>
    <mergeCell ref="AP20:AP21"/>
    <mergeCell ref="AQ20:AQ21"/>
    <mergeCell ref="AP11:AP12"/>
    <mergeCell ref="AQ11:AQ12"/>
    <mergeCell ref="AR11:AR12"/>
    <mergeCell ref="AS11:AS12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</mergeCells>
  <conditionalFormatting sqref="F5:AJ6 F9:AJ10 F16:AJ21 F13:AJ14">
    <cfRule type="expression" dxfId="72" priority="12" stopIfTrue="1">
      <formula>IF(WEEKDAY(F$5)=1,TRUE,FALSE)</formula>
    </cfRule>
  </conditionalFormatting>
  <conditionalFormatting sqref="F9:AJ10 F13:AJ14">
    <cfRule type="expression" dxfId="71" priority="11" stopIfTrue="1">
      <formula>IF(WEEKDAY(F$5)=1,TRUE,FALSE)</formula>
    </cfRule>
  </conditionalFormatting>
  <conditionalFormatting sqref="F16:AJ21">
    <cfRule type="expression" dxfId="70" priority="10" stopIfTrue="1">
      <formula>IF(WEEKDAY(F$5)=1,TRUE,FALSE)</formula>
    </cfRule>
  </conditionalFormatting>
  <conditionalFormatting sqref="F16:AJ21">
    <cfRule type="expression" dxfId="69" priority="9" stopIfTrue="1">
      <formula>IF(WEEKDAY(F$5)=1,TRUE,FALSE)</formula>
    </cfRule>
  </conditionalFormatting>
  <conditionalFormatting sqref="F16:AI21">
    <cfRule type="expression" dxfId="68" priority="8" stopIfTrue="1">
      <formula>IF(WEEKDAY(F$5)=1,TRUE,FALSE)</formula>
    </cfRule>
  </conditionalFormatting>
  <conditionalFormatting sqref="F16:AJ21">
    <cfRule type="expression" dxfId="67" priority="7" stopIfTrue="1">
      <formula>IF(WEEKDAY(F$5)=1,TRUE,FALSE)</formula>
    </cfRule>
  </conditionalFormatting>
  <conditionalFormatting sqref="F16:AI21">
    <cfRule type="expression" dxfId="66" priority="6" stopIfTrue="1">
      <formula>IF(WEEKDAY(F$5)=1,TRUE,FALSE)</formula>
    </cfRule>
  </conditionalFormatting>
  <conditionalFormatting sqref="F16:AJ21">
    <cfRule type="expression" dxfId="65" priority="5" stopIfTrue="1">
      <formula>IF(WEEKDAY(F$5)=1,TRUE,FALSE)</formula>
    </cfRule>
  </conditionalFormatting>
  <conditionalFormatting sqref="F16:AJ21">
    <cfRule type="expression" dxfId="64" priority="4" stopIfTrue="1">
      <formula>IF(WEEKDAY(F$5)=1,TRUE,FALSE)</formula>
    </cfRule>
  </conditionalFormatting>
  <conditionalFormatting sqref="F16:AJ21">
    <cfRule type="expression" dxfId="63" priority="3" stopIfTrue="1">
      <formula>IF(WEEKDAY(F$5)=1,TRUE,FALSE)</formula>
    </cfRule>
  </conditionalFormatting>
  <conditionalFormatting sqref="F11:AJ12">
    <cfRule type="expression" dxfId="62" priority="2" stopIfTrue="1">
      <formula>IF(WEEKDAY(F$5)=1,TRUE,FALSE)</formula>
    </cfRule>
  </conditionalFormatting>
  <conditionalFormatting sqref="F11:AJ12">
    <cfRule type="expression" dxfId="6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M1" sqref="AM1:AS1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5"/>
      <c r="C1" s="195"/>
      <c r="D1" s="257" t="str">
        <f>"BẢNG THANH TOÁN LƯƠNG THÁNG"&amp;" "&amp;TEXT($E$4,"mm")&amp;" / "&amp;TEXT($E$4,"yyyy")</f>
        <v>BẢNG THANH TOÁN LƯƠNG THÁNG 06 / 2011</v>
      </c>
      <c r="E1" s="257"/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8"/>
      <c r="R1" s="264" t="s">
        <v>185</v>
      </c>
      <c r="S1" s="265"/>
      <c r="T1" s="26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195"/>
      <c r="C2" s="195"/>
      <c r="D2" s="195"/>
      <c r="E2" s="81"/>
      <c r="F2" s="195"/>
      <c r="G2" s="195"/>
      <c r="H2" s="195"/>
      <c r="I2" s="195"/>
      <c r="J2" s="82"/>
      <c r="K2" s="195"/>
      <c r="L2" s="195"/>
      <c r="M2" s="195"/>
      <c r="N2" s="195"/>
      <c r="O2" s="195"/>
      <c r="P2" s="195"/>
      <c r="Q2" s="195"/>
      <c r="R2" s="195"/>
      <c r="S2" s="195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195"/>
      <c r="C3" s="195"/>
      <c r="D3" s="195"/>
      <c r="E3" s="81"/>
      <c r="F3" s="195"/>
      <c r="G3" s="195"/>
      <c r="H3" s="195"/>
      <c r="I3" s="195"/>
      <c r="J3" s="82"/>
      <c r="K3" s="195"/>
      <c r="L3" s="195"/>
      <c r="M3" s="195"/>
      <c r="N3" s="195"/>
      <c r="O3" s="195"/>
      <c r="P3" s="195"/>
      <c r="Q3" s="195"/>
      <c r="R3" s="195"/>
      <c r="S3" s="19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-6'!$E$4</f>
        <v>40695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59" t="s">
        <v>19</v>
      </c>
      <c r="B5" s="259" t="s">
        <v>20</v>
      </c>
      <c r="C5" s="224" t="s">
        <v>1</v>
      </c>
      <c r="D5" s="224" t="s">
        <v>2</v>
      </c>
      <c r="E5" s="227" t="s">
        <v>56</v>
      </c>
      <c r="F5" s="269" t="s">
        <v>26</v>
      </c>
      <c r="G5" s="271"/>
      <c r="H5" s="271"/>
      <c r="I5" s="271"/>
      <c r="J5" s="271"/>
      <c r="K5" s="270"/>
      <c r="L5" s="261" t="s">
        <v>57</v>
      </c>
      <c r="M5" s="261" t="s">
        <v>5</v>
      </c>
      <c r="N5" s="224" t="s">
        <v>6</v>
      </c>
      <c r="O5" s="224"/>
      <c r="P5" s="224"/>
      <c r="Q5" s="261" t="s">
        <v>7</v>
      </c>
      <c r="R5" s="261" t="s">
        <v>8</v>
      </c>
      <c r="S5" s="261" t="s">
        <v>9</v>
      </c>
      <c r="T5" s="225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0"/>
      <c r="B6" s="260"/>
      <c r="C6" s="224"/>
      <c r="D6" s="224"/>
      <c r="E6" s="227"/>
      <c r="F6" s="269" t="s">
        <v>59</v>
      </c>
      <c r="G6" s="270"/>
      <c r="H6" s="269" t="s">
        <v>158</v>
      </c>
      <c r="I6" s="271"/>
      <c r="J6" s="272" t="s">
        <v>27</v>
      </c>
      <c r="K6" s="261" t="s">
        <v>4</v>
      </c>
      <c r="L6" s="262"/>
      <c r="M6" s="262"/>
      <c r="N6" s="267" t="s">
        <v>12</v>
      </c>
      <c r="O6" s="261" t="s">
        <v>13</v>
      </c>
      <c r="P6" s="261" t="s">
        <v>34</v>
      </c>
      <c r="Q6" s="262"/>
      <c r="R6" s="262"/>
      <c r="S6" s="262"/>
      <c r="T6" s="226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0"/>
      <c r="B7" s="260"/>
      <c r="C7" s="261"/>
      <c r="D7" s="261"/>
      <c r="E7" s="227"/>
      <c r="F7" s="196" t="s">
        <v>40</v>
      </c>
      <c r="G7" s="193" t="s">
        <v>18</v>
      </c>
      <c r="H7" s="196" t="s">
        <v>40</v>
      </c>
      <c r="I7" s="128" t="s">
        <v>18</v>
      </c>
      <c r="J7" s="273"/>
      <c r="K7" s="262"/>
      <c r="L7" s="263"/>
      <c r="M7" s="263"/>
      <c r="N7" s="268"/>
      <c r="O7" s="262"/>
      <c r="P7" s="262"/>
      <c r="Q7" s="262"/>
      <c r="R7" s="262"/>
      <c r="S7" s="262"/>
      <c r="T7" s="226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" si="0">VLOOKUP(B10,DS,2,0)</f>
        <v>Lê Thị Dung</v>
      </c>
      <c r="D10" s="116" t="str">
        <f t="shared" ref="D10" si="1">VLOOKUP(B10,DS,3,0)</f>
        <v>Giám Đốc</v>
      </c>
      <c r="E10" s="90">
        <f t="shared" ref="E10" si="2">VLOOKUP(B10,DS,4,0)</f>
        <v>2500000</v>
      </c>
      <c r="F10" s="92">
        <f>VLOOKUP(B10,'CC -6'!$B$8:$AS$21,36,0)</f>
        <v>26</v>
      </c>
      <c r="G10" s="145">
        <f t="shared" ref="G10" si="3">ROUND(E10/$U$2*F10,0)</f>
        <v>2500000</v>
      </c>
      <c r="H10" s="92">
        <f>(VLOOKUP(B10,'CC -6'!$B$8:$AS$21,37,0)+VLOOKUP(B10,'CC -6'!$B$8:$AS$21,38,0))</f>
        <v>0</v>
      </c>
      <c r="I10" s="145">
        <f t="shared" ref="I10" si="4">ROUND(E10/$U$2*H10,0)</f>
        <v>0</v>
      </c>
      <c r="J10" s="93">
        <f t="shared" ref="J10" si="5">F10+H10</f>
        <v>26</v>
      </c>
      <c r="K10" s="39">
        <f>G10+I10</f>
        <v>2500000</v>
      </c>
      <c r="L10" s="90">
        <f t="shared" ref="L10" si="6">+F10*15000</f>
        <v>390000</v>
      </c>
      <c r="M10" s="40">
        <f t="shared" ref="M10" si="7">K10+L10</f>
        <v>2890000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2890000</v>
      </c>
      <c r="R10" s="39">
        <f>VLOOKUP(B10,DS,23,0)</f>
        <v>0</v>
      </c>
      <c r="S10" s="45">
        <f t="shared" ref="S10" si="9">Q10-R10</f>
        <v>2890000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ref="C11:C12" si="10">VLOOKUP(B11,DS,2,0)</f>
        <v>Phan Văn Hiền</v>
      </c>
      <c r="D11" s="116" t="str">
        <f t="shared" ref="D11:D12" si="11">VLOOKUP(B11,DS,3,0)</f>
        <v>Quản Đốc</v>
      </c>
      <c r="E11" s="90">
        <f t="shared" ref="E11:E12" si="12">VLOOKUP(B11,DS,4,0)</f>
        <v>2000000</v>
      </c>
      <c r="F11" s="92">
        <f>VLOOKUP(B11,'CC -6'!$B$8:$AS$21,36,0)</f>
        <v>26</v>
      </c>
      <c r="G11" s="145">
        <f t="shared" ref="G11:G12" si="13">ROUND(E11/$U$2*F11,0)</f>
        <v>2000000</v>
      </c>
      <c r="H11" s="92">
        <f>(VLOOKUP(B11,'CC -6'!$B$8:$AS$21,37,0)+VLOOKUP(B11,'CC -6'!$B$8:$AS$21,38,0))</f>
        <v>0</v>
      </c>
      <c r="I11" s="145">
        <f t="shared" ref="I11:I12" si="14">ROUND(E11/$U$2*H11,0)</f>
        <v>0</v>
      </c>
      <c r="J11" s="93">
        <f t="shared" ref="J11:J12" si="15">F11+H11</f>
        <v>26</v>
      </c>
      <c r="K11" s="39">
        <f t="shared" ref="K11:K12" si="16">G11+I11</f>
        <v>2000000</v>
      </c>
      <c r="L11" s="90">
        <f t="shared" ref="L11:L12" si="17">+F11*15000</f>
        <v>390000</v>
      </c>
      <c r="M11" s="40">
        <f t="shared" ref="M11:M12" si="18">K11+L11</f>
        <v>2390000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2390000</v>
      </c>
      <c r="R11" s="39">
        <f>VLOOKUP(B11,DS,23,0)</f>
        <v>0</v>
      </c>
      <c r="S11" s="45">
        <f t="shared" ref="S11:S12" si="20">Q11-R11</f>
        <v>2390000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10"/>
        <v>Nguyễn Thị Thu Sương</v>
      </c>
      <c r="D12" s="116" t="str">
        <f t="shared" si="11"/>
        <v>Kinh Doanh</v>
      </c>
      <c r="E12" s="90">
        <f t="shared" si="12"/>
        <v>2000000</v>
      </c>
      <c r="F12" s="92">
        <f>VLOOKUP(B12,'CC -6'!$B$8:$AS$21,36,0)</f>
        <v>26</v>
      </c>
      <c r="G12" s="145">
        <f t="shared" si="13"/>
        <v>2000000</v>
      </c>
      <c r="H12" s="92">
        <f>(VLOOKUP(B12,'CC -6'!$B$8:$AS$21,37,0)+VLOOKUP(B12,'CC -6'!$B$8:$AS$21,38,0))</f>
        <v>0</v>
      </c>
      <c r="I12" s="145">
        <f t="shared" si="14"/>
        <v>0</v>
      </c>
      <c r="J12" s="93">
        <f t="shared" si="15"/>
        <v>26</v>
      </c>
      <c r="K12" s="39">
        <f t="shared" si="16"/>
        <v>2000000</v>
      </c>
      <c r="L12" s="90">
        <f t="shared" si="17"/>
        <v>390000</v>
      </c>
      <c r="M12" s="40">
        <f t="shared" si="18"/>
        <v>2390000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2390000</v>
      </c>
      <c r="R12" s="39">
        <f>VLOOKUP(B12,DS,23,0)</f>
        <v>0</v>
      </c>
      <c r="S12" s="45">
        <f t="shared" si="20"/>
        <v>2390000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56" t="s">
        <v>25</v>
      </c>
      <c r="B14" s="256"/>
      <c r="C14" s="256"/>
      <c r="D14" s="256"/>
      <c r="E14" s="140">
        <f>SUM(E9:E12)</f>
        <v>6500000</v>
      </c>
      <c r="F14" s="140"/>
      <c r="G14" s="140">
        <f>SUM(G9:G12)</f>
        <v>6500000</v>
      </c>
      <c r="H14" s="140"/>
      <c r="I14" s="140">
        <f>SUM(I9:I12)</f>
        <v>0</v>
      </c>
      <c r="J14" s="140"/>
      <c r="K14" s="140">
        <f t="shared" ref="K14:S14" si="21">SUM(K9:K12)</f>
        <v>6500000</v>
      </c>
      <c r="L14" s="140">
        <f t="shared" si="21"/>
        <v>1170000</v>
      </c>
      <c r="M14" s="140">
        <f t="shared" si="21"/>
        <v>7670000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7670000</v>
      </c>
      <c r="R14" s="140">
        <f t="shared" si="21"/>
        <v>0</v>
      </c>
      <c r="S14" s="140">
        <f t="shared" si="21"/>
        <v>7670000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22">VLOOKUP(B16,DS,2,0)</f>
        <v>Nguyễn Trường Giang</v>
      </c>
      <c r="D16" s="116" t="str">
        <f t="shared" ref="D16:D18" si="23">VLOOKUP(B16,DS,3,0)</f>
        <v>Thợ in</v>
      </c>
      <c r="E16" s="90">
        <f t="shared" ref="E16:E18" si="24">VLOOKUP(B16,DS,4,0)</f>
        <v>1800000</v>
      </c>
      <c r="F16" s="92">
        <f>VLOOKUP(B16,'CC -6'!$B$8:$AS$21,36,0)</f>
        <v>26</v>
      </c>
      <c r="G16" s="145">
        <f t="shared" ref="G16:G18" si="25">ROUND(E16/$U$2*F16,0)</f>
        <v>1800000</v>
      </c>
      <c r="H16" s="92">
        <f>(VLOOKUP(B16,'CC -6'!$B$8:$AS$21,37,0)+VLOOKUP(B16,'CC -6'!$B$8:$AS$21,38,0))</f>
        <v>0</v>
      </c>
      <c r="I16" s="145">
        <f t="shared" ref="I16:I18" si="26">ROUND(E16/$U$2*H16,0)</f>
        <v>0</v>
      </c>
      <c r="J16" s="146">
        <f t="shared" ref="J16:K18" si="27">F16+H16</f>
        <v>26</v>
      </c>
      <c r="K16" s="39">
        <f t="shared" si="27"/>
        <v>1800000</v>
      </c>
      <c r="L16" s="90">
        <f t="shared" ref="L16:L18" si="28">+F16*15000</f>
        <v>390000</v>
      </c>
      <c r="M16" s="40">
        <f t="shared" ref="M16:M18" si="29">K16+L16</f>
        <v>2190000</v>
      </c>
      <c r="N16" s="40">
        <f>IF(VLOOKUP(B16,DS,9,0)="x",'L - 6'!E16*$N$4,0)</f>
        <v>0</v>
      </c>
      <c r="O16" s="40">
        <f t="shared" ref="O16:O18" si="30">IF(VLOOKUP(B16,DS,9,0)="x",E16*0.015,0)</f>
        <v>0</v>
      </c>
      <c r="P16" s="40">
        <f t="shared" ref="P16:P18" si="31">IF(VLOOKUP(B16,DS,9,0)="x",E16*0.01,0)</f>
        <v>0</v>
      </c>
      <c r="Q16" s="39">
        <f>M16-SUM(N16:P16)</f>
        <v>2190000</v>
      </c>
      <c r="R16" s="39">
        <f t="shared" ref="R16:R18" si="32">VLOOKUP(B16,DS,23,0)</f>
        <v>0</v>
      </c>
      <c r="S16" s="45">
        <f>Q16-R16</f>
        <v>2190000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22"/>
        <v>Đoàn Hồng Phong</v>
      </c>
      <c r="D17" s="116" t="str">
        <f t="shared" si="23"/>
        <v>Thợ đóng - xả</v>
      </c>
      <c r="E17" s="90">
        <f t="shared" si="24"/>
        <v>1800000</v>
      </c>
      <c r="F17" s="92">
        <f>VLOOKUP(B17,'CC -6'!$B$8:$AS$21,36,0)</f>
        <v>26</v>
      </c>
      <c r="G17" s="145">
        <f t="shared" si="25"/>
        <v>1800000</v>
      </c>
      <c r="H17" s="92">
        <f>(VLOOKUP(B17,'CC -6'!$B$8:$AS$21,37,0)+VLOOKUP(B17,'CC -6'!$B$8:$AS$21,38,0))</f>
        <v>0</v>
      </c>
      <c r="I17" s="145">
        <f t="shared" si="26"/>
        <v>0</v>
      </c>
      <c r="J17" s="146">
        <f t="shared" si="27"/>
        <v>26</v>
      </c>
      <c r="K17" s="39">
        <f t="shared" si="27"/>
        <v>1800000</v>
      </c>
      <c r="L17" s="90">
        <f t="shared" si="28"/>
        <v>390000</v>
      </c>
      <c r="M17" s="40">
        <f t="shared" si="29"/>
        <v>2190000</v>
      </c>
      <c r="N17" s="40">
        <f>IF(VLOOKUP(B17,DS,9,0)="x",'L - 6'!E17*$N$4,0)</f>
        <v>0</v>
      </c>
      <c r="O17" s="40">
        <f t="shared" si="30"/>
        <v>0</v>
      </c>
      <c r="P17" s="40">
        <f t="shared" si="31"/>
        <v>0</v>
      </c>
      <c r="Q17" s="39">
        <f t="shared" ref="Q17:Q18" si="33">M17-SUM(N17:P17)</f>
        <v>2190000</v>
      </c>
      <c r="R17" s="39">
        <f t="shared" si="32"/>
        <v>0</v>
      </c>
      <c r="S17" s="45">
        <f t="shared" ref="S17:S18" si="34">Q17-R17</f>
        <v>2190000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2"/>
        <v>Trần Hữu Tình</v>
      </c>
      <c r="D18" s="116" t="str">
        <f t="shared" si="23"/>
        <v>Công nhân</v>
      </c>
      <c r="E18" s="90">
        <f t="shared" si="24"/>
        <v>1500000</v>
      </c>
      <c r="F18" s="92">
        <f>VLOOKUP(B18,'CC -6'!$B$8:$AS$21,36,0)</f>
        <v>26</v>
      </c>
      <c r="G18" s="145">
        <f t="shared" si="25"/>
        <v>1500000</v>
      </c>
      <c r="H18" s="92">
        <f>(VLOOKUP(B18,'CC -6'!$B$8:$AS$21,37,0)+VLOOKUP(B18,'CC -6'!$B$8:$AS$21,38,0))</f>
        <v>0</v>
      </c>
      <c r="I18" s="145">
        <f t="shared" si="26"/>
        <v>0</v>
      </c>
      <c r="J18" s="146">
        <f t="shared" si="27"/>
        <v>26</v>
      </c>
      <c r="K18" s="39">
        <f t="shared" si="27"/>
        <v>1500000</v>
      </c>
      <c r="L18" s="90">
        <f t="shared" si="28"/>
        <v>390000</v>
      </c>
      <c r="M18" s="40">
        <f t="shared" si="29"/>
        <v>1890000</v>
      </c>
      <c r="N18" s="40">
        <f>IF(VLOOKUP(B18,DS,9,0)="x",'L - 6'!E18*$N$4,0)</f>
        <v>0</v>
      </c>
      <c r="O18" s="40">
        <f t="shared" si="30"/>
        <v>0</v>
      </c>
      <c r="P18" s="40">
        <f t="shared" si="31"/>
        <v>0</v>
      </c>
      <c r="Q18" s="39">
        <f t="shared" si="33"/>
        <v>1890000</v>
      </c>
      <c r="R18" s="39">
        <f t="shared" si="32"/>
        <v>0</v>
      </c>
      <c r="S18" s="45">
        <f t="shared" si="34"/>
        <v>1890000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56" t="s">
        <v>25</v>
      </c>
      <c r="B20" s="256"/>
      <c r="C20" s="256"/>
      <c r="D20" s="256"/>
      <c r="E20" s="140">
        <f>SUM(E15:E19)</f>
        <v>5100000</v>
      </c>
      <c r="F20" s="140"/>
      <c r="G20" s="140">
        <f t="shared" ref="G20:S20" si="35">SUM(G15:G19)</f>
        <v>5100000</v>
      </c>
      <c r="H20" s="140"/>
      <c r="I20" s="140">
        <f t="shared" si="35"/>
        <v>0</v>
      </c>
      <c r="J20" s="140"/>
      <c r="K20" s="140">
        <f t="shared" si="35"/>
        <v>5100000</v>
      </c>
      <c r="L20" s="140">
        <f t="shared" si="35"/>
        <v>1170000</v>
      </c>
      <c r="M20" s="140">
        <f t="shared" si="35"/>
        <v>6270000</v>
      </c>
      <c r="N20" s="140">
        <f t="shared" si="35"/>
        <v>0</v>
      </c>
      <c r="O20" s="140">
        <f t="shared" si="35"/>
        <v>0</v>
      </c>
      <c r="P20" s="140">
        <f t="shared" si="35"/>
        <v>0</v>
      </c>
      <c r="Q20" s="140">
        <f t="shared" si="35"/>
        <v>6270000</v>
      </c>
      <c r="R20" s="140">
        <f t="shared" si="35"/>
        <v>0</v>
      </c>
      <c r="S20" s="140">
        <f t="shared" si="35"/>
        <v>6270000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06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A20:D20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  <mergeCell ref="N5:P5"/>
    <mergeCell ref="Q5:Q7"/>
    <mergeCell ref="A14:D14"/>
    <mergeCell ref="K6:K7"/>
    <mergeCell ref="N6:N7"/>
    <mergeCell ref="O6:O7"/>
    <mergeCell ref="P6:P7"/>
    <mergeCell ref="J6:J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F16" sqref="F16:AJ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07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3" t="s">
        <v>185</v>
      </c>
      <c r="AN1" s="254"/>
      <c r="AO1" s="254"/>
      <c r="AP1" s="254"/>
      <c r="AQ1" s="254"/>
      <c r="AR1" s="254"/>
      <c r="AS1" s="25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40725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49" t="s">
        <v>28</v>
      </c>
      <c r="B5" s="249" t="s">
        <v>3</v>
      </c>
      <c r="C5" s="249" t="s">
        <v>1</v>
      </c>
      <c r="D5" s="245" t="s">
        <v>29</v>
      </c>
      <c r="E5" s="249" t="s">
        <v>30</v>
      </c>
      <c r="F5" s="118">
        <f>+E4</f>
        <v>40725</v>
      </c>
      <c r="G5" s="118">
        <f t="shared" ref="G5:AJ5" si="0">F5+1</f>
        <v>40726</v>
      </c>
      <c r="H5" s="118">
        <f t="shared" si="0"/>
        <v>40727</v>
      </c>
      <c r="I5" s="118">
        <f t="shared" si="0"/>
        <v>40728</v>
      </c>
      <c r="J5" s="118">
        <f t="shared" si="0"/>
        <v>40729</v>
      </c>
      <c r="K5" s="118">
        <f t="shared" si="0"/>
        <v>40730</v>
      </c>
      <c r="L5" s="118">
        <f t="shared" si="0"/>
        <v>40731</v>
      </c>
      <c r="M5" s="118">
        <f t="shared" si="0"/>
        <v>40732</v>
      </c>
      <c r="N5" s="118">
        <f t="shared" si="0"/>
        <v>40733</v>
      </c>
      <c r="O5" s="118">
        <f t="shared" si="0"/>
        <v>40734</v>
      </c>
      <c r="P5" s="118">
        <f t="shared" si="0"/>
        <v>40735</v>
      </c>
      <c r="Q5" s="118">
        <f t="shared" si="0"/>
        <v>40736</v>
      </c>
      <c r="R5" s="118">
        <f t="shared" si="0"/>
        <v>40737</v>
      </c>
      <c r="S5" s="118">
        <f t="shared" si="0"/>
        <v>40738</v>
      </c>
      <c r="T5" s="118">
        <f t="shared" si="0"/>
        <v>40739</v>
      </c>
      <c r="U5" s="118">
        <f t="shared" si="0"/>
        <v>40740</v>
      </c>
      <c r="V5" s="118">
        <f t="shared" si="0"/>
        <v>40741</v>
      </c>
      <c r="W5" s="118">
        <f t="shared" si="0"/>
        <v>40742</v>
      </c>
      <c r="X5" s="118">
        <f t="shared" si="0"/>
        <v>40743</v>
      </c>
      <c r="Y5" s="118">
        <f t="shared" si="0"/>
        <v>40744</v>
      </c>
      <c r="Z5" s="118">
        <f t="shared" si="0"/>
        <v>40745</v>
      </c>
      <c r="AA5" s="118">
        <f t="shared" si="0"/>
        <v>40746</v>
      </c>
      <c r="AB5" s="118">
        <f t="shared" si="0"/>
        <v>40747</v>
      </c>
      <c r="AC5" s="118">
        <f t="shared" si="0"/>
        <v>40748</v>
      </c>
      <c r="AD5" s="118">
        <f t="shared" si="0"/>
        <v>40749</v>
      </c>
      <c r="AE5" s="118">
        <f t="shared" si="0"/>
        <v>40750</v>
      </c>
      <c r="AF5" s="118">
        <f t="shared" si="0"/>
        <v>40751</v>
      </c>
      <c r="AG5" s="118">
        <f t="shared" si="0"/>
        <v>40752</v>
      </c>
      <c r="AH5" s="118">
        <f>AG5+1</f>
        <v>40753</v>
      </c>
      <c r="AI5" s="118">
        <f t="shared" si="0"/>
        <v>40754</v>
      </c>
      <c r="AJ5" s="118">
        <f t="shared" si="0"/>
        <v>40755</v>
      </c>
      <c r="AK5" s="250" t="s">
        <v>15</v>
      </c>
      <c r="AL5" s="251"/>
      <c r="AM5" s="252"/>
      <c r="AN5" s="247" t="s">
        <v>45</v>
      </c>
      <c r="AO5" s="247" t="s">
        <v>41</v>
      </c>
      <c r="AP5" s="247" t="s">
        <v>42</v>
      </c>
      <c r="AQ5" s="247" t="s">
        <v>43</v>
      </c>
      <c r="AR5" s="247" t="s">
        <v>44</v>
      </c>
      <c r="AS5" s="245" t="s">
        <v>0</v>
      </c>
      <c r="AT5" s="24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6"/>
      <c r="B6" s="246"/>
      <c r="C6" s="246"/>
      <c r="D6" s="246"/>
      <c r="E6" s="246"/>
      <c r="F6" s="175" t="str">
        <f>CHOOSE(WEEKDAY(F5),"C.Nhật","T.Hai","T.Ba","T.Tư","T.Năm","T.Sáu","T.Bảy")</f>
        <v>T.Sáu</v>
      </c>
      <c r="G6" s="175" t="str">
        <f t="shared" ref="G6:AJ6" si="1">CHOOSE(WEEKDAY(G5),"C.Nhật","T.Hai","T.Ba","T.Tư","T.Năm","T.Sáu","T.Bảy")</f>
        <v>T.Bảy</v>
      </c>
      <c r="H6" s="175" t="str">
        <f t="shared" si="1"/>
        <v>C.Nhật</v>
      </c>
      <c r="I6" s="175" t="str">
        <f t="shared" si="1"/>
        <v>T.Hai</v>
      </c>
      <c r="J6" s="175" t="str">
        <f t="shared" si="1"/>
        <v>T.Ba</v>
      </c>
      <c r="K6" s="175" t="str">
        <f t="shared" si="1"/>
        <v>T.Tư</v>
      </c>
      <c r="L6" s="175" t="str">
        <f t="shared" si="1"/>
        <v>T.Năm</v>
      </c>
      <c r="M6" s="175" t="str">
        <f t="shared" si="1"/>
        <v>T.Sáu</v>
      </c>
      <c r="N6" s="175" t="str">
        <f t="shared" si="1"/>
        <v>T.Bảy</v>
      </c>
      <c r="O6" s="175" t="str">
        <f t="shared" si="1"/>
        <v>C.Nhật</v>
      </c>
      <c r="P6" s="175" t="str">
        <f t="shared" si="1"/>
        <v>T.Hai</v>
      </c>
      <c r="Q6" s="175" t="str">
        <f t="shared" si="1"/>
        <v>T.Ba</v>
      </c>
      <c r="R6" s="175" t="str">
        <f t="shared" si="1"/>
        <v>T.Tư</v>
      </c>
      <c r="S6" s="175" t="str">
        <f t="shared" si="1"/>
        <v>T.Năm</v>
      </c>
      <c r="T6" s="175" t="str">
        <f t="shared" si="1"/>
        <v>T.Sáu</v>
      </c>
      <c r="U6" s="175" t="str">
        <f t="shared" si="1"/>
        <v>T.Bảy</v>
      </c>
      <c r="V6" s="175" t="str">
        <f t="shared" si="1"/>
        <v>C.Nhật</v>
      </c>
      <c r="W6" s="175" t="str">
        <f t="shared" si="1"/>
        <v>T.Hai</v>
      </c>
      <c r="X6" s="175" t="str">
        <f t="shared" si="1"/>
        <v>T.Ba</v>
      </c>
      <c r="Y6" s="175" t="str">
        <f t="shared" si="1"/>
        <v>T.Tư</v>
      </c>
      <c r="Z6" s="175" t="str">
        <f t="shared" si="1"/>
        <v>T.Năm</v>
      </c>
      <c r="AA6" s="175" t="str">
        <f t="shared" si="1"/>
        <v>T.Sáu</v>
      </c>
      <c r="AB6" s="175" t="str">
        <f t="shared" si="1"/>
        <v>T.Bảy</v>
      </c>
      <c r="AC6" s="175" t="str">
        <f t="shared" si="1"/>
        <v>C.Nhật</v>
      </c>
      <c r="AD6" s="175" t="str">
        <f t="shared" si="1"/>
        <v>T.Hai</v>
      </c>
      <c r="AE6" s="175" t="str">
        <f t="shared" si="1"/>
        <v>T.Ba</v>
      </c>
      <c r="AF6" s="175" t="str">
        <f t="shared" si="1"/>
        <v>T.Tư</v>
      </c>
      <c r="AG6" s="175" t="str">
        <f t="shared" si="1"/>
        <v>T.Năm</v>
      </c>
      <c r="AH6" s="175" t="str">
        <f t="shared" si="1"/>
        <v>T.Sáu</v>
      </c>
      <c r="AI6" s="175" t="str">
        <f t="shared" si="1"/>
        <v>T.Bảy</v>
      </c>
      <c r="AJ6" s="175" t="str">
        <f t="shared" si="1"/>
        <v>C.Nhật</v>
      </c>
      <c r="AK6" s="176" t="s">
        <v>16</v>
      </c>
      <c r="AL6" s="176" t="s">
        <v>31</v>
      </c>
      <c r="AM6" s="177" t="s">
        <v>17</v>
      </c>
      <c r="AN6" s="248"/>
      <c r="AO6" s="248"/>
      <c r="AP6" s="248"/>
      <c r="AQ6" s="248"/>
      <c r="AR6" s="248"/>
      <c r="AS6" s="246"/>
      <c r="AT6" s="24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38">
        <v>1</v>
      </c>
      <c r="B9" s="238" t="s">
        <v>161</v>
      </c>
      <c r="C9" s="240" t="str">
        <f>VLOOKUP(B9,DS,2,0)</f>
        <v>Lê Thị Dung</v>
      </c>
      <c r="D9" s="228" t="str">
        <f>VLOOKUP(B9,DS,3,0)</f>
        <v>Giám Đốc</v>
      </c>
      <c r="E9" s="68" t="s">
        <v>32</v>
      </c>
      <c r="F9" s="143">
        <v>8</v>
      </c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/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30">
        <f>((SUM(F9:AJ9))/8)-(SUMIF($F$6:$AJ$6,"C.Nhật",F9:AJ9)/8)</f>
        <v>26</v>
      </c>
      <c r="AL9" s="230">
        <f>SUM(F10:AJ10)/8*1.5</f>
        <v>0</v>
      </c>
      <c r="AM9" s="232">
        <f>SUMIF($F$6:$AJ$6,"C.Nhật",$F9:$AJ10)/8*2</f>
        <v>0</v>
      </c>
      <c r="AN9" s="234">
        <f>SUM(AK9:AM10)</f>
        <v>26</v>
      </c>
      <c r="AO9" s="236">
        <v>0</v>
      </c>
      <c r="AP9" s="234"/>
      <c r="AQ9" s="234"/>
      <c r="AR9" s="234"/>
      <c r="AS9" s="243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39"/>
      <c r="B10" s="239"/>
      <c r="C10" s="241"/>
      <c r="D10" s="22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31"/>
      <c r="AL10" s="231"/>
      <c r="AM10" s="233"/>
      <c r="AN10" s="235"/>
      <c r="AO10" s="237"/>
      <c r="AP10" s="235"/>
      <c r="AQ10" s="235"/>
      <c r="AR10" s="235"/>
      <c r="AS10" s="244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38">
        <f>A7+1</f>
        <v>2</v>
      </c>
      <c r="B11" s="238" t="s">
        <v>162</v>
      </c>
      <c r="C11" s="240" t="str">
        <f>VLOOKUP(B11,DS,2,0)</f>
        <v>Phan Văn Hiền</v>
      </c>
      <c r="D11" s="228" t="str">
        <f>VLOOKUP(B11,DS,3,0)</f>
        <v>Quản Đốc</v>
      </c>
      <c r="E11" s="68" t="s">
        <v>32</v>
      </c>
      <c r="F11" s="143">
        <v>8</v>
      </c>
      <c r="G11" s="143">
        <v>8</v>
      </c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/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/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/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30">
        <f t="shared" ref="AK11" si="2">((SUM(F11:AJ11))/8)-(SUMIF($F$6:$AJ$6,"C.Nhật",F11:AJ11)/8)</f>
        <v>26</v>
      </c>
      <c r="AL11" s="230">
        <f t="shared" ref="AL11" si="3">SUM(F12:AJ12)/8*1.5</f>
        <v>0</v>
      </c>
      <c r="AM11" s="232">
        <f t="shared" ref="AM11:AM13" si="4">SUMIF($F$6:$AJ$6,"C.Nhật",$F11:$AJ12)/8*2</f>
        <v>0</v>
      </c>
      <c r="AN11" s="234">
        <f t="shared" ref="AN11" si="5">SUM(AK11:AM12)</f>
        <v>26</v>
      </c>
      <c r="AO11" s="236">
        <v>0</v>
      </c>
      <c r="AP11" s="234"/>
      <c r="AQ11" s="234"/>
      <c r="AR11" s="234"/>
      <c r="AS11" s="243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39"/>
      <c r="B12" s="239"/>
      <c r="C12" s="241"/>
      <c r="D12" s="22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31"/>
      <c r="AL12" s="231"/>
      <c r="AM12" s="233"/>
      <c r="AN12" s="235"/>
      <c r="AO12" s="237"/>
      <c r="AP12" s="235"/>
      <c r="AQ12" s="235"/>
      <c r="AR12" s="235"/>
      <c r="AS12" s="244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38">
        <f>A9+1</f>
        <v>2</v>
      </c>
      <c r="B13" s="238" t="s">
        <v>183</v>
      </c>
      <c r="C13" s="240" t="str">
        <f>VLOOKUP(B13,DS,2,0)</f>
        <v>Nguyễn Thị Thu Sương</v>
      </c>
      <c r="D13" s="228" t="str">
        <f>VLOOKUP(B13,DS,3,0)</f>
        <v>Kinh Doanh</v>
      </c>
      <c r="E13" s="68" t="s">
        <v>32</v>
      </c>
      <c r="F13" s="143">
        <v>8</v>
      </c>
      <c r="G13" s="143">
        <v>8</v>
      </c>
      <c r="H13" s="143"/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/>
      <c r="P13" s="143">
        <v>8</v>
      </c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/>
      <c r="W13" s="143">
        <v>8</v>
      </c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/>
      <c r="AD13" s="143">
        <v>8</v>
      </c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30">
        <f t="shared" ref="AK13" si="6">((SUM(F13:AJ13))/8)-(SUMIF($F$6:$AJ$6,"C.Nhật",F13:AJ13)/8)</f>
        <v>26</v>
      </c>
      <c r="AL13" s="230">
        <f t="shared" ref="AL13" si="7">SUM(F14:AJ14)/8*1.5</f>
        <v>0</v>
      </c>
      <c r="AM13" s="232">
        <f t="shared" si="4"/>
        <v>0</v>
      </c>
      <c r="AN13" s="234">
        <f t="shared" ref="AN13" si="8">SUM(AK13:AM14)</f>
        <v>26</v>
      </c>
      <c r="AO13" s="236">
        <v>0</v>
      </c>
      <c r="AP13" s="234"/>
      <c r="AQ13" s="234"/>
      <c r="AR13" s="234"/>
      <c r="AS13" s="243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39"/>
      <c r="B14" s="239"/>
      <c r="C14" s="241"/>
      <c r="D14" s="229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31"/>
      <c r="AL14" s="231"/>
      <c r="AM14" s="233"/>
      <c r="AN14" s="235"/>
      <c r="AO14" s="237"/>
      <c r="AP14" s="235"/>
      <c r="AQ14" s="235"/>
      <c r="AR14" s="235"/>
      <c r="AS14" s="244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38">
        <v>1</v>
      </c>
      <c r="B16" s="238" t="s">
        <v>163</v>
      </c>
      <c r="C16" s="240" t="str">
        <f>VLOOKUP(B16,DS,2,0)</f>
        <v>Nguyễn Trường Giang</v>
      </c>
      <c r="D16" s="228" t="str">
        <f>VLOOKUP(B16,DS,3,0)</f>
        <v>Thợ in</v>
      </c>
      <c r="E16" s="68" t="s">
        <v>32</v>
      </c>
      <c r="F16" s="143">
        <v>8</v>
      </c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/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30">
        <f t="shared" ref="AK16" si="9">((SUM(F16:AJ16))/8)-(SUMIF($F$6:$AJ$6,"C.Nhật",F16:AJ16)/8)</f>
        <v>26</v>
      </c>
      <c r="AL16" s="230">
        <f t="shared" ref="AL16" si="10">SUM(F17:AJ17)/8*1.5</f>
        <v>0</v>
      </c>
      <c r="AM16" s="232">
        <f>SUMIF($F$6:$AJ$6,"C.Nhật",$F16:$AJ17)/8*2</f>
        <v>0</v>
      </c>
      <c r="AN16" s="234">
        <f>SUM(AK16:AM17)</f>
        <v>26</v>
      </c>
      <c r="AO16" s="236">
        <v>0</v>
      </c>
      <c r="AP16" s="234"/>
      <c r="AQ16" s="234"/>
      <c r="AR16" s="234"/>
      <c r="AS16" s="243"/>
      <c r="AT16" s="20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39"/>
      <c r="B17" s="239"/>
      <c r="C17" s="241"/>
      <c r="D17" s="22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31"/>
      <c r="AL17" s="231"/>
      <c r="AM17" s="233"/>
      <c r="AN17" s="235"/>
      <c r="AO17" s="237"/>
      <c r="AP17" s="235"/>
      <c r="AQ17" s="235"/>
      <c r="AR17" s="235"/>
      <c r="AS17" s="244"/>
      <c r="AT17" s="20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38">
        <f>A16+1</f>
        <v>2</v>
      </c>
      <c r="B18" s="238" t="s">
        <v>164</v>
      </c>
      <c r="C18" s="240" t="str">
        <f>VLOOKUP(B18,DS,2,0)</f>
        <v>Đoàn Hồng Phong</v>
      </c>
      <c r="D18" s="228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/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/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/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30">
        <f t="shared" ref="AK18" si="11">((SUM(F18:AJ18))/8)-(SUMIF($F$6:$AJ$6,"C.Nhật",F18:AJ18)/8)</f>
        <v>26</v>
      </c>
      <c r="AL18" s="230">
        <f t="shared" ref="AL18" si="12">SUM(F19:AJ19)/8*1.5</f>
        <v>0</v>
      </c>
      <c r="AM18" s="232">
        <f>SUMIF($F$6:$AJ$6,"C.Nhật",$F18:$AJ19)/8*2</f>
        <v>0</v>
      </c>
      <c r="AN18" s="234">
        <f t="shared" ref="AN18" si="13">SUM(AK18:AM19)</f>
        <v>26</v>
      </c>
      <c r="AO18" s="236">
        <v>0</v>
      </c>
      <c r="AP18" s="234"/>
      <c r="AQ18" s="234"/>
      <c r="AR18" s="234"/>
      <c r="AS18" s="243"/>
      <c r="AT18" s="20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39"/>
      <c r="B19" s="239"/>
      <c r="C19" s="241"/>
      <c r="D19" s="22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31"/>
      <c r="AL19" s="231"/>
      <c r="AM19" s="233"/>
      <c r="AN19" s="235"/>
      <c r="AO19" s="237"/>
      <c r="AP19" s="235"/>
      <c r="AQ19" s="235"/>
      <c r="AR19" s="235"/>
      <c r="AS19" s="244"/>
      <c r="AT19" s="20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38">
        <f t="shared" ref="A20" si="14">A18+1</f>
        <v>3</v>
      </c>
      <c r="B20" s="238" t="s">
        <v>165</v>
      </c>
      <c r="C20" s="240" t="str">
        <f>VLOOKUP(B20,DS,2,0)</f>
        <v>Trần Hữu Tình</v>
      </c>
      <c r="D20" s="228" t="str">
        <f>VLOOKUP(B20,DS,3,0)</f>
        <v>Công nhân</v>
      </c>
      <c r="E20" s="68" t="s">
        <v>32</v>
      </c>
      <c r="F20" s="143">
        <v>8</v>
      </c>
      <c r="G20" s="143">
        <v>8</v>
      </c>
      <c r="H20" s="143"/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/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/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/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30">
        <f t="shared" ref="AK20" si="15">((SUM(F20:AJ20))/8)-(SUMIF($F$6:$AJ$6,"C.Nhật",F20:AJ20)/8)</f>
        <v>26</v>
      </c>
      <c r="AL20" s="230">
        <f t="shared" ref="AL20" si="16">SUM(F21:AJ21)/8*1.5</f>
        <v>0</v>
      </c>
      <c r="AM20" s="232">
        <f>SUMIF($F$6:$AJ$6,"C.Nhật",$F20:$AJ21)/8*2</f>
        <v>0</v>
      </c>
      <c r="AN20" s="234">
        <f t="shared" ref="AN20" si="17">SUM(AK20:AM21)</f>
        <v>26</v>
      </c>
      <c r="AO20" s="236">
        <v>0</v>
      </c>
      <c r="AP20" s="234"/>
      <c r="AQ20" s="234"/>
      <c r="AR20" s="234"/>
      <c r="AS20" s="243"/>
      <c r="AT20" s="20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39"/>
      <c r="B21" s="239"/>
      <c r="C21" s="241"/>
      <c r="D21" s="229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31"/>
      <c r="AL21" s="231"/>
      <c r="AM21" s="233"/>
      <c r="AN21" s="235"/>
      <c r="AO21" s="237"/>
      <c r="AP21" s="235"/>
      <c r="AQ21" s="235"/>
      <c r="AR21" s="235"/>
      <c r="AS21" s="244"/>
      <c r="AT21" s="20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9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9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P20:AP21"/>
    <mergeCell ref="AQ20:AQ21"/>
    <mergeCell ref="AR20:AR21"/>
    <mergeCell ref="AS20:AS21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3:AS14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3:AM14"/>
    <mergeCell ref="AN13:AN14"/>
    <mergeCell ref="AO13:AO14"/>
    <mergeCell ref="AP13:AP14"/>
    <mergeCell ref="AQ13:AQ14"/>
    <mergeCell ref="AR13:AR14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</mergeCells>
  <conditionalFormatting sqref="F5:AJ6 F9:AJ14 F16:AJ21">
    <cfRule type="expression" dxfId="60" priority="13" stopIfTrue="1">
      <formula>IF(WEEKDAY(F$5)=1,TRUE,FALSE)</formula>
    </cfRule>
  </conditionalFormatting>
  <conditionalFormatting sqref="F9:AJ14">
    <cfRule type="expression" dxfId="59" priority="12" stopIfTrue="1">
      <formula>IF(WEEKDAY(F$5)=1,TRUE,FALSE)</formula>
    </cfRule>
  </conditionalFormatting>
  <conditionalFormatting sqref="F16:AJ21">
    <cfRule type="expression" dxfId="58" priority="11" stopIfTrue="1">
      <formula>IF(WEEKDAY(F$5)=1,TRUE,FALSE)</formula>
    </cfRule>
  </conditionalFormatting>
  <conditionalFormatting sqref="F16:AJ21">
    <cfRule type="expression" dxfId="57" priority="10" stopIfTrue="1">
      <formula>IF(WEEKDAY(F$5)=1,TRUE,FALSE)</formula>
    </cfRule>
  </conditionalFormatting>
  <conditionalFormatting sqref="F16:AI21">
    <cfRule type="expression" dxfId="56" priority="9" stopIfTrue="1">
      <formula>IF(WEEKDAY(F$5)=1,TRUE,FALSE)</formula>
    </cfRule>
  </conditionalFormatting>
  <conditionalFormatting sqref="F16:AJ21">
    <cfRule type="expression" dxfId="55" priority="8" stopIfTrue="1">
      <formula>IF(WEEKDAY(F$5)=1,TRUE,FALSE)</formula>
    </cfRule>
  </conditionalFormatting>
  <conditionalFormatting sqref="F16:AI21">
    <cfRule type="expression" dxfId="54" priority="7" stopIfTrue="1">
      <formula>IF(WEEKDAY(F$5)=1,TRUE,FALSE)</formula>
    </cfRule>
  </conditionalFormatting>
  <conditionalFormatting sqref="F16:AJ21">
    <cfRule type="expression" dxfId="53" priority="6" stopIfTrue="1">
      <formula>IF(WEEKDAY(F$5)=1,TRUE,FALSE)</formula>
    </cfRule>
  </conditionalFormatting>
  <conditionalFormatting sqref="F16:AJ21">
    <cfRule type="expression" dxfId="52" priority="5" stopIfTrue="1">
      <formula>IF(WEEKDAY(F$5)=1,TRUE,FALSE)</formula>
    </cfRule>
  </conditionalFormatting>
  <conditionalFormatting sqref="F16:AJ21">
    <cfRule type="expression" dxfId="51" priority="4" stopIfTrue="1">
      <formula>IF(WEEKDAY(F$5)=1,TRUE,FALSE)</formula>
    </cfRule>
  </conditionalFormatting>
  <conditionalFormatting sqref="F16:AJ21">
    <cfRule type="expression" dxfId="4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12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F16" sqref="F16:AJ21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57" t="str">
        <f>"BẢNG THANH TOÁN LƯƠNG THÁNG"&amp;" "&amp;TEXT($E$4,"mm")&amp;" / "&amp;TEXT($E$4,"yyyy")</f>
        <v>BẢNG THANH TOÁN LƯƠNG THÁNG 07 / 2011</v>
      </c>
      <c r="E1" s="257"/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8"/>
      <c r="R1" s="264" t="s">
        <v>185</v>
      </c>
      <c r="S1" s="265"/>
      <c r="T1" s="26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-7'!$E$4</f>
        <v>40725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59" t="s">
        <v>19</v>
      </c>
      <c r="B5" s="259" t="s">
        <v>20</v>
      </c>
      <c r="C5" s="224" t="s">
        <v>1</v>
      </c>
      <c r="D5" s="224" t="s">
        <v>2</v>
      </c>
      <c r="E5" s="227" t="s">
        <v>56</v>
      </c>
      <c r="F5" s="269" t="s">
        <v>26</v>
      </c>
      <c r="G5" s="271"/>
      <c r="H5" s="271"/>
      <c r="I5" s="271"/>
      <c r="J5" s="271"/>
      <c r="K5" s="270"/>
      <c r="L5" s="261" t="s">
        <v>57</v>
      </c>
      <c r="M5" s="261" t="s">
        <v>5</v>
      </c>
      <c r="N5" s="224" t="s">
        <v>6</v>
      </c>
      <c r="O5" s="224"/>
      <c r="P5" s="224"/>
      <c r="Q5" s="261" t="s">
        <v>7</v>
      </c>
      <c r="R5" s="261" t="s">
        <v>8</v>
      </c>
      <c r="S5" s="261" t="s">
        <v>9</v>
      </c>
      <c r="T5" s="225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0"/>
      <c r="B6" s="260"/>
      <c r="C6" s="224"/>
      <c r="D6" s="224"/>
      <c r="E6" s="227"/>
      <c r="F6" s="269" t="s">
        <v>59</v>
      </c>
      <c r="G6" s="270"/>
      <c r="H6" s="269" t="s">
        <v>158</v>
      </c>
      <c r="I6" s="271"/>
      <c r="J6" s="272" t="s">
        <v>27</v>
      </c>
      <c r="K6" s="261" t="s">
        <v>4</v>
      </c>
      <c r="L6" s="262"/>
      <c r="M6" s="262"/>
      <c r="N6" s="267" t="s">
        <v>12</v>
      </c>
      <c r="O6" s="261" t="s">
        <v>13</v>
      </c>
      <c r="P6" s="261" t="s">
        <v>34</v>
      </c>
      <c r="Q6" s="262"/>
      <c r="R6" s="262"/>
      <c r="S6" s="262"/>
      <c r="T6" s="226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0"/>
      <c r="B7" s="260"/>
      <c r="C7" s="261"/>
      <c r="D7" s="261"/>
      <c r="E7" s="227"/>
      <c r="F7" s="202" t="s">
        <v>40</v>
      </c>
      <c r="G7" s="200" t="s">
        <v>18</v>
      </c>
      <c r="H7" s="202" t="s">
        <v>40</v>
      </c>
      <c r="I7" s="128" t="s">
        <v>18</v>
      </c>
      <c r="J7" s="273"/>
      <c r="K7" s="262"/>
      <c r="L7" s="263"/>
      <c r="M7" s="263"/>
      <c r="N7" s="268"/>
      <c r="O7" s="262"/>
      <c r="P7" s="262"/>
      <c r="Q7" s="262"/>
      <c r="R7" s="262"/>
      <c r="S7" s="262"/>
      <c r="T7" s="226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2500000</v>
      </c>
      <c r="F10" s="92">
        <f>VLOOKUP(B10,'CC -7'!$B$8:$AS$21,36,0)</f>
        <v>26</v>
      </c>
      <c r="G10" s="145">
        <f t="shared" ref="G10:G12" si="3">ROUND(E10/$U$2*F10,0)</f>
        <v>2500000</v>
      </c>
      <c r="H10" s="92">
        <f>(VLOOKUP(B10,'CC -7'!$B$8:$AS$21,37,0)+VLOOKUP(B10,'CC -7'!$B$8:$AS$21,38,0))</f>
        <v>0</v>
      </c>
      <c r="I10" s="145">
        <f t="shared" ref="I10:I12" si="4">ROUND(E10/$U$2*H10,0)</f>
        <v>0</v>
      </c>
      <c r="J10" s="93">
        <f t="shared" ref="J10:K12" si="5">F10+H10</f>
        <v>26</v>
      </c>
      <c r="K10" s="39">
        <f>G10+I10</f>
        <v>2500000</v>
      </c>
      <c r="L10" s="90">
        <f t="shared" ref="L10:L12" si="6">+F10*15000</f>
        <v>390000</v>
      </c>
      <c r="M10" s="40">
        <f t="shared" ref="M10:M12" si="7">K10+L10</f>
        <v>2890000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2890000</v>
      </c>
      <c r="R10" s="39">
        <f>VLOOKUP(B10,DS,23,0)</f>
        <v>0</v>
      </c>
      <c r="S10" s="45">
        <f t="shared" ref="S10:S12" si="9">Q10-R10</f>
        <v>2890000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2000000</v>
      </c>
      <c r="F11" s="92">
        <f>VLOOKUP(B11,'CC -7'!$B$8:$AS$21,36,0)</f>
        <v>26</v>
      </c>
      <c r="G11" s="145">
        <f t="shared" si="3"/>
        <v>2000000</v>
      </c>
      <c r="H11" s="92">
        <f>(VLOOKUP(B11,'CC -7'!$B$8:$AS$21,37,0)+VLOOKUP(B11,'CC -7'!$B$8:$AS$21,38,0))</f>
        <v>0</v>
      </c>
      <c r="I11" s="145">
        <f t="shared" si="4"/>
        <v>0</v>
      </c>
      <c r="J11" s="93">
        <f t="shared" si="5"/>
        <v>26</v>
      </c>
      <c r="K11" s="39">
        <f t="shared" si="5"/>
        <v>2000000</v>
      </c>
      <c r="L11" s="90">
        <f t="shared" si="6"/>
        <v>390000</v>
      </c>
      <c r="M11" s="40">
        <f t="shared" si="7"/>
        <v>2390000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2390000</v>
      </c>
      <c r="R11" s="39">
        <f>VLOOKUP(B11,DS,23,0)</f>
        <v>0</v>
      </c>
      <c r="S11" s="45">
        <f t="shared" si="9"/>
        <v>2390000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2000000</v>
      </c>
      <c r="F12" s="92">
        <f>VLOOKUP(B12,'CC -7'!$B$8:$AS$21,36,0)</f>
        <v>26</v>
      </c>
      <c r="G12" s="145">
        <f t="shared" si="3"/>
        <v>2000000</v>
      </c>
      <c r="H12" s="92">
        <f>(VLOOKUP(B12,'CC -7'!$B$8:$AS$21,37,0)+VLOOKUP(B12,'CC -7'!$B$8:$AS$21,38,0))</f>
        <v>0</v>
      </c>
      <c r="I12" s="145">
        <f t="shared" si="4"/>
        <v>0</v>
      </c>
      <c r="J12" s="93">
        <f t="shared" si="5"/>
        <v>26</v>
      </c>
      <c r="K12" s="39">
        <f t="shared" si="5"/>
        <v>2000000</v>
      </c>
      <c r="L12" s="90">
        <f t="shared" si="6"/>
        <v>390000</v>
      </c>
      <c r="M12" s="40">
        <f t="shared" si="7"/>
        <v>2390000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2390000</v>
      </c>
      <c r="R12" s="39">
        <f>VLOOKUP(B12,DS,23,0)</f>
        <v>0</v>
      </c>
      <c r="S12" s="45">
        <f t="shared" si="9"/>
        <v>2390000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56" t="s">
        <v>25</v>
      </c>
      <c r="B14" s="256"/>
      <c r="C14" s="256"/>
      <c r="D14" s="256"/>
      <c r="E14" s="140">
        <f>SUM(E9:E12)</f>
        <v>6500000</v>
      </c>
      <c r="F14" s="140"/>
      <c r="G14" s="140">
        <f>SUM(G9:G12)</f>
        <v>6500000</v>
      </c>
      <c r="H14" s="140"/>
      <c r="I14" s="140">
        <f>SUM(I9:I12)</f>
        <v>0</v>
      </c>
      <c r="J14" s="140"/>
      <c r="K14" s="140">
        <f t="shared" ref="K14:S14" si="10">SUM(K9:K12)</f>
        <v>6500000</v>
      </c>
      <c r="L14" s="140">
        <f t="shared" si="10"/>
        <v>1170000</v>
      </c>
      <c r="M14" s="140">
        <f t="shared" si="10"/>
        <v>7670000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7670000</v>
      </c>
      <c r="R14" s="140">
        <f t="shared" si="10"/>
        <v>0</v>
      </c>
      <c r="S14" s="140">
        <f t="shared" si="10"/>
        <v>7670000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-7'!$B$8:$AS$21,36,0)</f>
        <v>26</v>
      </c>
      <c r="G16" s="145">
        <f t="shared" ref="G16:G18" si="14">ROUND(E16/$U$2*F16,0)</f>
        <v>1800000</v>
      </c>
      <c r="H16" s="92">
        <f>(VLOOKUP(B16,'CC -7'!$B$8:$AS$21,37,0)+VLOOKUP(B16,'CC -7'!$B$8:$AS$21,38,0))</f>
        <v>0</v>
      </c>
      <c r="I16" s="145">
        <f t="shared" ref="I16:I18" si="15">ROUND(E16/$U$2*H16,0)</f>
        <v>0</v>
      </c>
      <c r="J16" s="146">
        <f t="shared" ref="J16:K18" si="16">F16+H16</f>
        <v>26</v>
      </c>
      <c r="K16" s="39">
        <f t="shared" si="16"/>
        <v>1800000</v>
      </c>
      <c r="L16" s="90">
        <f t="shared" ref="L16:L18" si="17">+F16*15000</f>
        <v>390000</v>
      </c>
      <c r="M16" s="40">
        <f t="shared" ref="M16:M18" si="18">K16+L16</f>
        <v>2190000</v>
      </c>
      <c r="N16" s="40">
        <f>IF(VLOOKUP(B16,DS,9,0)="x",'L - 7'!E16*$N$4,0)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2190000</v>
      </c>
      <c r="R16" s="39">
        <f t="shared" ref="R16:R18" si="21">VLOOKUP(B16,DS,23,0)</f>
        <v>0</v>
      </c>
      <c r="S16" s="45">
        <f>Q16-R16</f>
        <v>2190000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-7'!$B$8:$AS$21,36,0)</f>
        <v>26</v>
      </c>
      <c r="G17" s="145">
        <f t="shared" si="14"/>
        <v>1800000</v>
      </c>
      <c r="H17" s="92">
        <f>(VLOOKUP(B17,'CC -7'!$B$8:$AS$21,37,0)+VLOOKUP(B17,'CC -7'!$B$8:$AS$21,38,0))</f>
        <v>0</v>
      </c>
      <c r="I17" s="145">
        <f t="shared" si="15"/>
        <v>0</v>
      </c>
      <c r="J17" s="146">
        <f t="shared" si="16"/>
        <v>26</v>
      </c>
      <c r="K17" s="39">
        <f t="shared" si="16"/>
        <v>1800000</v>
      </c>
      <c r="L17" s="90">
        <f t="shared" si="17"/>
        <v>390000</v>
      </c>
      <c r="M17" s="40">
        <f t="shared" si="18"/>
        <v>2190000</v>
      </c>
      <c r="N17" s="40">
        <f>IF(VLOOKUP(B17,DS,9,0)="x",'L - 7'!E17*$N$4,0)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2190000</v>
      </c>
      <c r="R17" s="39">
        <f t="shared" si="21"/>
        <v>0</v>
      </c>
      <c r="S17" s="45">
        <f t="shared" ref="S17:S18" si="23">Q17-R17</f>
        <v>2190000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-7'!$B$8:$AS$21,36,0)</f>
        <v>26</v>
      </c>
      <c r="G18" s="145">
        <f t="shared" si="14"/>
        <v>1500000</v>
      </c>
      <c r="H18" s="92">
        <f>(VLOOKUP(B18,'CC -7'!$B$8:$AS$21,37,0)+VLOOKUP(B18,'CC -7'!$B$8:$AS$21,38,0))</f>
        <v>0</v>
      </c>
      <c r="I18" s="145">
        <f t="shared" si="15"/>
        <v>0</v>
      </c>
      <c r="J18" s="146">
        <f t="shared" si="16"/>
        <v>26</v>
      </c>
      <c r="K18" s="39">
        <f t="shared" si="16"/>
        <v>1500000</v>
      </c>
      <c r="L18" s="90">
        <f t="shared" si="17"/>
        <v>390000</v>
      </c>
      <c r="M18" s="40">
        <f t="shared" si="18"/>
        <v>1890000</v>
      </c>
      <c r="N18" s="40">
        <f>IF(VLOOKUP(B18,DS,9,0)="x",'L - 7'!E18*$N$4,0)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1890000</v>
      </c>
      <c r="R18" s="39">
        <f t="shared" si="21"/>
        <v>0</v>
      </c>
      <c r="S18" s="45">
        <f t="shared" si="23"/>
        <v>1890000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56" t="s">
        <v>25</v>
      </c>
      <c r="B20" s="256"/>
      <c r="C20" s="256"/>
      <c r="D20" s="256"/>
      <c r="E20" s="140">
        <f>SUM(E15:E19)</f>
        <v>5100000</v>
      </c>
      <c r="F20" s="140"/>
      <c r="G20" s="140">
        <f t="shared" ref="G20:S20" si="24">SUM(G15:G19)</f>
        <v>5100000</v>
      </c>
      <c r="H20" s="140"/>
      <c r="I20" s="140">
        <f t="shared" si="24"/>
        <v>0</v>
      </c>
      <c r="J20" s="140"/>
      <c r="K20" s="140">
        <f t="shared" si="24"/>
        <v>5100000</v>
      </c>
      <c r="L20" s="140">
        <f t="shared" si="24"/>
        <v>1170000</v>
      </c>
      <c r="M20" s="140">
        <f t="shared" si="24"/>
        <v>6270000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6270000</v>
      </c>
      <c r="R20" s="140">
        <f t="shared" si="24"/>
        <v>0</v>
      </c>
      <c r="S20" s="140">
        <f t="shared" si="24"/>
        <v>6270000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07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O6:O7"/>
    <mergeCell ref="P6:P7"/>
    <mergeCell ref="A14:D14"/>
    <mergeCell ref="A20:D20"/>
    <mergeCell ref="N5:P5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M1" sqref="AM1:AS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08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3" t="s">
        <v>185</v>
      </c>
      <c r="AN1" s="254"/>
      <c r="AO1" s="254"/>
      <c r="AP1" s="254"/>
      <c r="AQ1" s="254"/>
      <c r="AR1" s="254"/>
      <c r="AS1" s="25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40756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49" t="s">
        <v>28</v>
      </c>
      <c r="B5" s="249" t="s">
        <v>3</v>
      </c>
      <c r="C5" s="249" t="s">
        <v>1</v>
      </c>
      <c r="D5" s="245" t="s">
        <v>29</v>
      </c>
      <c r="E5" s="249" t="s">
        <v>30</v>
      </c>
      <c r="F5" s="118">
        <f>+E4</f>
        <v>40756</v>
      </c>
      <c r="G5" s="118">
        <f t="shared" ref="G5:AJ5" si="0">F5+1</f>
        <v>40757</v>
      </c>
      <c r="H5" s="118">
        <f t="shared" si="0"/>
        <v>40758</v>
      </c>
      <c r="I5" s="118">
        <f t="shared" si="0"/>
        <v>40759</v>
      </c>
      <c r="J5" s="118">
        <f t="shared" si="0"/>
        <v>40760</v>
      </c>
      <c r="K5" s="118">
        <f t="shared" si="0"/>
        <v>40761</v>
      </c>
      <c r="L5" s="118">
        <f t="shared" si="0"/>
        <v>40762</v>
      </c>
      <c r="M5" s="118">
        <f t="shared" si="0"/>
        <v>40763</v>
      </c>
      <c r="N5" s="118">
        <f t="shared" si="0"/>
        <v>40764</v>
      </c>
      <c r="O5" s="118">
        <f t="shared" si="0"/>
        <v>40765</v>
      </c>
      <c r="P5" s="118">
        <f t="shared" si="0"/>
        <v>40766</v>
      </c>
      <c r="Q5" s="118">
        <f t="shared" si="0"/>
        <v>40767</v>
      </c>
      <c r="R5" s="118">
        <f t="shared" si="0"/>
        <v>40768</v>
      </c>
      <c r="S5" s="118">
        <f t="shared" si="0"/>
        <v>40769</v>
      </c>
      <c r="T5" s="118">
        <f t="shared" si="0"/>
        <v>40770</v>
      </c>
      <c r="U5" s="118">
        <f t="shared" si="0"/>
        <v>40771</v>
      </c>
      <c r="V5" s="118">
        <f t="shared" si="0"/>
        <v>40772</v>
      </c>
      <c r="W5" s="118">
        <f t="shared" si="0"/>
        <v>40773</v>
      </c>
      <c r="X5" s="118">
        <f t="shared" si="0"/>
        <v>40774</v>
      </c>
      <c r="Y5" s="118">
        <f t="shared" si="0"/>
        <v>40775</v>
      </c>
      <c r="Z5" s="118">
        <f t="shared" si="0"/>
        <v>40776</v>
      </c>
      <c r="AA5" s="118">
        <f t="shared" si="0"/>
        <v>40777</v>
      </c>
      <c r="AB5" s="118">
        <f t="shared" si="0"/>
        <v>40778</v>
      </c>
      <c r="AC5" s="118">
        <f t="shared" si="0"/>
        <v>40779</v>
      </c>
      <c r="AD5" s="118">
        <f t="shared" si="0"/>
        <v>40780</v>
      </c>
      <c r="AE5" s="118">
        <f t="shared" si="0"/>
        <v>40781</v>
      </c>
      <c r="AF5" s="118">
        <f t="shared" si="0"/>
        <v>40782</v>
      </c>
      <c r="AG5" s="118">
        <f t="shared" si="0"/>
        <v>40783</v>
      </c>
      <c r="AH5" s="118">
        <f>AG5+1</f>
        <v>40784</v>
      </c>
      <c r="AI5" s="118">
        <f t="shared" si="0"/>
        <v>40785</v>
      </c>
      <c r="AJ5" s="118">
        <f t="shared" si="0"/>
        <v>40786</v>
      </c>
      <c r="AK5" s="250" t="s">
        <v>15</v>
      </c>
      <c r="AL5" s="251"/>
      <c r="AM5" s="252"/>
      <c r="AN5" s="247" t="s">
        <v>45</v>
      </c>
      <c r="AO5" s="247" t="s">
        <v>41</v>
      </c>
      <c r="AP5" s="247" t="s">
        <v>42</v>
      </c>
      <c r="AQ5" s="247" t="s">
        <v>43</v>
      </c>
      <c r="AR5" s="247" t="s">
        <v>44</v>
      </c>
      <c r="AS5" s="245" t="s">
        <v>0</v>
      </c>
      <c r="AT5" s="24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6"/>
      <c r="B6" s="246"/>
      <c r="C6" s="246"/>
      <c r="D6" s="246"/>
      <c r="E6" s="246"/>
      <c r="F6" s="175" t="str">
        <f>CHOOSE(WEEKDAY(F5),"C.Nhật","T.Hai","T.Ba","T.Tư","T.Năm","T.Sáu","T.Bảy")</f>
        <v>T.Hai</v>
      </c>
      <c r="G6" s="175" t="str">
        <f t="shared" ref="G6:AJ6" si="1">CHOOSE(WEEKDAY(G5),"C.Nhật","T.Hai","T.Ba","T.Tư","T.Năm","T.Sáu","T.Bảy")</f>
        <v>T.Ba</v>
      </c>
      <c r="H6" s="175" t="str">
        <f t="shared" si="1"/>
        <v>T.Tư</v>
      </c>
      <c r="I6" s="175" t="str">
        <f t="shared" si="1"/>
        <v>T.Năm</v>
      </c>
      <c r="J6" s="175" t="str">
        <f t="shared" si="1"/>
        <v>T.Sáu</v>
      </c>
      <c r="K6" s="175" t="str">
        <f t="shared" si="1"/>
        <v>T.Bảy</v>
      </c>
      <c r="L6" s="175" t="str">
        <f t="shared" si="1"/>
        <v>C.Nhật</v>
      </c>
      <c r="M6" s="175" t="str">
        <f t="shared" si="1"/>
        <v>T.Hai</v>
      </c>
      <c r="N6" s="175" t="str">
        <f t="shared" si="1"/>
        <v>T.Ba</v>
      </c>
      <c r="O6" s="175" t="str">
        <f t="shared" si="1"/>
        <v>T.Tư</v>
      </c>
      <c r="P6" s="175" t="str">
        <f t="shared" si="1"/>
        <v>T.Năm</v>
      </c>
      <c r="Q6" s="175" t="str">
        <f t="shared" si="1"/>
        <v>T.Sáu</v>
      </c>
      <c r="R6" s="175" t="str">
        <f t="shared" si="1"/>
        <v>T.Bảy</v>
      </c>
      <c r="S6" s="175" t="str">
        <f t="shared" si="1"/>
        <v>C.Nhật</v>
      </c>
      <c r="T6" s="175" t="str">
        <f t="shared" si="1"/>
        <v>T.Hai</v>
      </c>
      <c r="U6" s="175" t="str">
        <f t="shared" si="1"/>
        <v>T.Ba</v>
      </c>
      <c r="V6" s="175" t="str">
        <f t="shared" si="1"/>
        <v>T.Tư</v>
      </c>
      <c r="W6" s="175" t="str">
        <f t="shared" si="1"/>
        <v>T.Năm</v>
      </c>
      <c r="X6" s="175" t="str">
        <f t="shared" si="1"/>
        <v>T.Sáu</v>
      </c>
      <c r="Y6" s="175" t="str">
        <f t="shared" si="1"/>
        <v>T.Bảy</v>
      </c>
      <c r="Z6" s="175" t="str">
        <f t="shared" si="1"/>
        <v>C.Nhật</v>
      </c>
      <c r="AA6" s="175" t="str">
        <f t="shared" si="1"/>
        <v>T.Hai</v>
      </c>
      <c r="AB6" s="175" t="str">
        <f t="shared" si="1"/>
        <v>T.Ba</v>
      </c>
      <c r="AC6" s="175" t="str">
        <f t="shared" si="1"/>
        <v>T.Tư</v>
      </c>
      <c r="AD6" s="175" t="str">
        <f t="shared" si="1"/>
        <v>T.Năm</v>
      </c>
      <c r="AE6" s="175" t="str">
        <f t="shared" si="1"/>
        <v>T.Sáu</v>
      </c>
      <c r="AF6" s="175" t="str">
        <f t="shared" si="1"/>
        <v>T.Bảy</v>
      </c>
      <c r="AG6" s="175" t="str">
        <f t="shared" si="1"/>
        <v>C.Nhật</v>
      </c>
      <c r="AH6" s="175" t="str">
        <f t="shared" si="1"/>
        <v>T.Hai</v>
      </c>
      <c r="AI6" s="175" t="str">
        <f t="shared" si="1"/>
        <v>T.Ba</v>
      </c>
      <c r="AJ6" s="175" t="str">
        <f t="shared" si="1"/>
        <v>T.Tư</v>
      </c>
      <c r="AK6" s="176" t="s">
        <v>16</v>
      </c>
      <c r="AL6" s="176" t="s">
        <v>31</v>
      </c>
      <c r="AM6" s="177" t="s">
        <v>17</v>
      </c>
      <c r="AN6" s="248"/>
      <c r="AO6" s="248"/>
      <c r="AP6" s="248"/>
      <c r="AQ6" s="248"/>
      <c r="AR6" s="248"/>
      <c r="AS6" s="246"/>
      <c r="AT6" s="24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38">
        <v>1</v>
      </c>
      <c r="B9" s="238" t="s">
        <v>161</v>
      </c>
      <c r="C9" s="240" t="str">
        <f>VLOOKUP(B9,DS,2,0)</f>
        <v>Lê Thị Dung</v>
      </c>
      <c r="D9" s="228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/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/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/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/>
      <c r="AH9" s="143">
        <v>8</v>
      </c>
      <c r="AI9" s="143">
        <v>8</v>
      </c>
      <c r="AJ9" s="143">
        <v>8</v>
      </c>
      <c r="AK9" s="230">
        <f>((SUM(F9:AJ9))/8)-(SUMIF($F$6:$AJ$6,"C.Nhật",F9:AJ9)/8)</f>
        <v>27</v>
      </c>
      <c r="AL9" s="230">
        <f>SUM(F10:AJ10)/8*1.5</f>
        <v>0</v>
      </c>
      <c r="AM9" s="232">
        <f>SUMIF($F$6:$AJ$6,"C.Nhật",$F9:$AJ10)/8*2</f>
        <v>0</v>
      </c>
      <c r="AN9" s="234">
        <f>SUM(AK9:AM10)</f>
        <v>27</v>
      </c>
      <c r="AO9" s="236">
        <v>0</v>
      </c>
      <c r="AP9" s="234"/>
      <c r="AQ9" s="234"/>
      <c r="AR9" s="234"/>
      <c r="AS9" s="243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39"/>
      <c r="B10" s="239"/>
      <c r="C10" s="241"/>
      <c r="D10" s="22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31"/>
      <c r="AL10" s="231"/>
      <c r="AM10" s="233"/>
      <c r="AN10" s="235"/>
      <c r="AO10" s="237"/>
      <c r="AP10" s="235"/>
      <c r="AQ10" s="235"/>
      <c r="AR10" s="235"/>
      <c r="AS10" s="244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38">
        <f>A7+1</f>
        <v>2</v>
      </c>
      <c r="B11" s="238" t="s">
        <v>162</v>
      </c>
      <c r="C11" s="240" t="str">
        <f>VLOOKUP(B11,DS,2,0)</f>
        <v>Phan Văn Hiền</v>
      </c>
      <c r="D11" s="228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/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/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/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/>
      <c r="AH11" s="143">
        <v>8</v>
      </c>
      <c r="AI11" s="143">
        <v>8</v>
      </c>
      <c r="AJ11" s="143">
        <v>8</v>
      </c>
      <c r="AK11" s="230">
        <f t="shared" ref="AK11" si="2">((SUM(F11:AJ11))/8)-(SUMIF($F$6:$AJ$6,"C.Nhật",F11:AJ11)/8)</f>
        <v>27</v>
      </c>
      <c r="AL11" s="230">
        <f t="shared" ref="AL11" si="3">SUM(F12:AJ12)/8*1.5</f>
        <v>0</v>
      </c>
      <c r="AM11" s="232">
        <f t="shared" ref="AM11:AM13" si="4">SUMIF($F$6:$AJ$6,"C.Nhật",$F11:$AJ12)/8*2</f>
        <v>0</v>
      </c>
      <c r="AN11" s="234">
        <f t="shared" ref="AN11" si="5">SUM(AK11:AM12)</f>
        <v>27</v>
      </c>
      <c r="AO11" s="236">
        <v>0</v>
      </c>
      <c r="AP11" s="234"/>
      <c r="AQ11" s="234"/>
      <c r="AR11" s="234"/>
      <c r="AS11" s="243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39"/>
      <c r="B12" s="239"/>
      <c r="C12" s="241"/>
      <c r="D12" s="22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31"/>
      <c r="AL12" s="231"/>
      <c r="AM12" s="233"/>
      <c r="AN12" s="235"/>
      <c r="AO12" s="237"/>
      <c r="AP12" s="235"/>
      <c r="AQ12" s="235"/>
      <c r="AR12" s="235"/>
      <c r="AS12" s="244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38">
        <f>A9+1</f>
        <v>2</v>
      </c>
      <c r="B13" s="238" t="s">
        <v>183</v>
      </c>
      <c r="C13" s="240" t="str">
        <f>VLOOKUP(B13,DS,2,0)</f>
        <v>Nguyễn Thị Thu Sương</v>
      </c>
      <c r="D13" s="228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>
        <v>8</v>
      </c>
      <c r="K13" s="143">
        <v>8</v>
      </c>
      <c r="L13" s="143"/>
      <c r="M13" s="143">
        <v>8</v>
      </c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/>
      <c r="T13" s="143">
        <v>8</v>
      </c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/>
      <c r="AA13" s="143">
        <v>8</v>
      </c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/>
      <c r="AH13" s="143">
        <v>8</v>
      </c>
      <c r="AI13" s="143">
        <v>8</v>
      </c>
      <c r="AJ13" s="143">
        <v>8</v>
      </c>
      <c r="AK13" s="230">
        <f t="shared" ref="AK13" si="6">((SUM(F13:AJ13))/8)-(SUMIF($F$6:$AJ$6,"C.Nhật",F13:AJ13)/8)</f>
        <v>27</v>
      </c>
      <c r="AL13" s="230">
        <f t="shared" ref="AL13" si="7">SUM(F14:AJ14)/8*1.5</f>
        <v>0</v>
      </c>
      <c r="AM13" s="232">
        <f t="shared" si="4"/>
        <v>0</v>
      </c>
      <c r="AN13" s="234">
        <f t="shared" ref="AN13" si="8">SUM(AK13:AM14)</f>
        <v>27</v>
      </c>
      <c r="AO13" s="236">
        <v>0</v>
      </c>
      <c r="AP13" s="234"/>
      <c r="AQ13" s="234"/>
      <c r="AR13" s="234"/>
      <c r="AS13" s="243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39"/>
      <c r="B14" s="239"/>
      <c r="C14" s="241"/>
      <c r="D14" s="229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31"/>
      <c r="AL14" s="231"/>
      <c r="AM14" s="233"/>
      <c r="AN14" s="235"/>
      <c r="AO14" s="237"/>
      <c r="AP14" s="235"/>
      <c r="AQ14" s="235"/>
      <c r="AR14" s="235"/>
      <c r="AS14" s="244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38">
        <v>1</v>
      </c>
      <c r="B16" s="238" t="s">
        <v>163</v>
      </c>
      <c r="C16" s="240" t="str">
        <f>VLOOKUP(B16,DS,2,0)</f>
        <v>Nguyễn Trường Giang</v>
      </c>
      <c r="D16" s="228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/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/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/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/>
      <c r="AH16" s="143">
        <v>8</v>
      </c>
      <c r="AI16" s="143">
        <v>8</v>
      </c>
      <c r="AJ16" s="143">
        <v>8</v>
      </c>
      <c r="AK16" s="230">
        <f t="shared" ref="AK16" si="9">((SUM(F16:AJ16))/8)-(SUMIF($F$6:$AJ$6,"C.Nhật",F16:AJ16)/8)</f>
        <v>27</v>
      </c>
      <c r="AL16" s="230">
        <f t="shared" ref="AL16" si="10">SUM(F17:AJ17)/8*1.5</f>
        <v>0</v>
      </c>
      <c r="AM16" s="232">
        <f>SUMIF($F$6:$AJ$6,"C.Nhật",$F16:$AJ17)/8*2</f>
        <v>0</v>
      </c>
      <c r="AN16" s="234">
        <f>SUM(AK16:AM17)</f>
        <v>27</v>
      </c>
      <c r="AO16" s="236">
        <v>0</v>
      </c>
      <c r="AP16" s="234"/>
      <c r="AQ16" s="234"/>
      <c r="AR16" s="234"/>
      <c r="AS16" s="243"/>
      <c r="AT16" s="20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39"/>
      <c r="B17" s="239"/>
      <c r="C17" s="241"/>
      <c r="D17" s="22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31"/>
      <c r="AL17" s="231"/>
      <c r="AM17" s="233"/>
      <c r="AN17" s="235"/>
      <c r="AO17" s="237"/>
      <c r="AP17" s="235"/>
      <c r="AQ17" s="235"/>
      <c r="AR17" s="235"/>
      <c r="AS17" s="244"/>
      <c r="AT17" s="20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38">
        <f>A16+1</f>
        <v>2</v>
      </c>
      <c r="B18" s="238" t="s">
        <v>164</v>
      </c>
      <c r="C18" s="240" t="str">
        <f>VLOOKUP(B18,DS,2,0)</f>
        <v>Đoàn Hồng Phong</v>
      </c>
      <c r="D18" s="228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/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/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/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/>
      <c r="AH18" s="143">
        <v>8</v>
      </c>
      <c r="AI18" s="143">
        <v>8</v>
      </c>
      <c r="AJ18" s="143">
        <v>8</v>
      </c>
      <c r="AK18" s="230">
        <f t="shared" ref="AK18" si="11">((SUM(F18:AJ18))/8)-(SUMIF($F$6:$AJ$6,"C.Nhật",F18:AJ18)/8)</f>
        <v>27</v>
      </c>
      <c r="AL18" s="230">
        <f t="shared" ref="AL18" si="12">SUM(F19:AJ19)/8*1.5</f>
        <v>0</v>
      </c>
      <c r="AM18" s="232">
        <f>SUMIF($F$6:$AJ$6,"C.Nhật",$F18:$AJ19)/8*2</f>
        <v>0</v>
      </c>
      <c r="AN18" s="234">
        <f t="shared" ref="AN18" si="13">SUM(AK18:AM19)</f>
        <v>27</v>
      </c>
      <c r="AO18" s="236">
        <v>0</v>
      </c>
      <c r="AP18" s="234"/>
      <c r="AQ18" s="234"/>
      <c r="AR18" s="234"/>
      <c r="AS18" s="243"/>
      <c r="AT18" s="20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39"/>
      <c r="B19" s="239"/>
      <c r="C19" s="241"/>
      <c r="D19" s="22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31"/>
      <c r="AL19" s="231"/>
      <c r="AM19" s="233"/>
      <c r="AN19" s="235"/>
      <c r="AO19" s="237"/>
      <c r="AP19" s="235"/>
      <c r="AQ19" s="235"/>
      <c r="AR19" s="235"/>
      <c r="AS19" s="244"/>
      <c r="AT19" s="20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38">
        <f t="shared" ref="A20" si="14">A18+1</f>
        <v>3</v>
      </c>
      <c r="B20" s="238" t="s">
        <v>165</v>
      </c>
      <c r="C20" s="240" t="str">
        <f>VLOOKUP(B20,DS,2,0)</f>
        <v>Trần Hữu Tình</v>
      </c>
      <c r="D20" s="228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>
        <v>8</v>
      </c>
      <c r="L20" s="143"/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/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/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/>
      <c r="AH20" s="143">
        <v>8</v>
      </c>
      <c r="AI20" s="143">
        <v>8</v>
      </c>
      <c r="AJ20" s="143">
        <v>8</v>
      </c>
      <c r="AK20" s="230">
        <f t="shared" ref="AK20" si="15">((SUM(F20:AJ20))/8)-(SUMIF($F$6:$AJ$6,"C.Nhật",F20:AJ20)/8)</f>
        <v>27</v>
      </c>
      <c r="AL20" s="230">
        <f t="shared" ref="AL20" si="16">SUM(F21:AJ21)/8*1.5</f>
        <v>0</v>
      </c>
      <c r="AM20" s="232">
        <f>SUMIF($F$6:$AJ$6,"C.Nhật",$F20:$AJ21)/8*2</f>
        <v>0</v>
      </c>
      <c r="AN20" s="234">
        <f t="shared" ref="AN20" si="17">SUM(AK20:AM21)</f>
        <v>27</v>
      </c>
      <c r="AO20" s="236">
        <v>0</v>
      </c>
      <c r="AP20" s="234"/>
      <c r="AQ20" s="234"/>
      <c r="AR20" s="234"/>
      <c r="AS20" s="243"/>
      <c r="AT20" s="20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39"/>
      <c r="B21" s="239"/>
      <c r="C21" s="241"/>
      <c r="D21" s="229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31"/>
      <c r="AL21" s="231"/>
      <c r="AM21" s="233"/>
      <c r="AN21" s="235"/>
      <c r="AO21" s="237"/>
      <c r="AP21" s="235"/>
      <c r="AQ21" s="235"/>
      <c r="AR21" s="235"/>
      <c r="AS21" s="244"/>
      <c r="AT21" s="20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9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9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P20:AP21"/>
    <mergeCell ref="AQ20:AQ21"/>
    <mergeCell ref="AR20:AR21"/>
    <mergeCell ref="AS20:AS21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3:AS14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3:AM14"/>
    <mergeCell ref="AN13:AN14"/>
    <mergeCell ref="AO13:AO14"/>
    <mergeCell ref="AP13:AP14"/>
    <mergeCell ref="AQ13:AQ14"/>
    <mergeCell ref="AR13:AR14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</mergeCells>
  <conditionalFormatting sqref="F5:AJ6 F9:AJ14 F16:AJ21">
    <cfRule type="expression" dxfId="40" priority="12" stopIfTrue="1">
      <formula>IF(WEEKDAY(F$5)=1,TRUE,FALSE)</formula>
    </cfRule>
  </conditionalFormatting>
  <conditionalFormatting sqref="F9:AJ14">
    <cfRule type="expression" dxfId="39" priority="11" stopIfTrue="1">
      <formula>IF(WEEKDAY(F$5)=1,TRUE,FALSE)</formula>
    </cfRule>
  </conditionalFormatting>
  <conditionalFormatting sqref="F16:AJ21">
    <cfRule type="expression" dxfId="38" priority="10" stopIfTrue="1">
      <formula>IF(WEEKDAY(F$5)=1,TRUE,FALSE)</formula>
    </cfRule>
  </conditionalFormatting>
  <conditionalFormatting sqref="F16:AJ21">
    <cfRule type="expression" dxfId="37" priority="9" stopIfTrue="1">
      <formula>IF(WEEKDAY(F$5)=1,TRUE,FALSE)</formula>
    </cfRule>
  </conditionalFormatting>
  <conditionalFormatting sqref="F16:AI21">
    <cfRule type="expression" dxfId="36" priority="8" stopIfTrue="1">
      <formula>IF(WEEKDAY(F$5)=1,TRUE,FALSE)</formula>
    </cfRule>
  </conditionalFormatting>
  <conditionalFormatting sqref="F16:AJ21">
    <cfRule type="expression" dxfId="35" priority="7" stopIfTrue="1">
      <formula>IF(WEEKDAY(F$5)=1,TRUE,FALSE)</formula>
    </cfRule>
  </conditionalFormatting>
  <conditionalFormatting sqref="F16:AI21">
    <cfRule type="expression" dxfId="34" priority="6" stopIfTrue="1">
      <formula>IF(WEEKDAY(F$5)=1,TRUE,FALSE)</formula>
    </cfRule>
  </conditionalFormatting>
  <conditionalFormatting sqref="F16:AJ21">
    <cfRule type="expression" dxfId="33" priority="5" stopIfTrue="1">
      <formula>IF(WEEKDAY(F$5)=1,TRUE,FALSE)</formula>
    </cfRule>
  </conditionalFormatting>
  <conditionalFormatting sqref="F16:AJ21">
    <cfRule type="expression" dxfId="32" priority="4" stopIfTrue="1">
      <formula>IF(WEEKDAY(F$5)=1,TRUE,FALSE)</formula>
    </cfRule>
  </conditionalFormatting>
  <conditionalFormatting sqref="F16:AJ21">
    <cfRule type="expression" dxfId="31" priority="3" stopIfTrue="1">
      <formula>IF(WEEKDAY(F$5)=1,TRUE,FALSE)</formula>
    </cfRule>
  </conditionalFormatting>
  <conditionalFormatting sqref="F16:AJ21">
    <cfRule type="expression" dxfId="30" priority="2" stopIfTrue="1">
      <formula>IF(WEEKDAY(F$5)=1,TRUE,FALSE)</formula>
    </cfRule>
  </conditionalFormatting>
  <conditionalFormatting sqref="F16:AJ21">
    <cfRule type="expression" dxfId="2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12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M1" sqref="AM1:AS1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57" t="str">
        <f>"BẢNG THANH TOÁN LƯƠNG THÁNG"&amp;" "&amp;TEXT($E$4,"mm")&amp;" / "&amp;TEXT($E$4,"yyyy")</f>
        <v>BẢNG THANH TOÁN LƯƠNG THÁNG 08 / 2011</v>
      </c>
      <c r="E1" s="257"/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8"/>
      <c r="R1" s="264" t="s">
        <v>185</v>
      </c>
      <c r="S1" s="265"/>
      <c r="T1" s="26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- 8'!$E$4</f>
        <v>40756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59" t="s">
        <v>19</v>
      </c>
      <c r="B5" s="259" t="s">
        <v>20</v>
      </c>
      <c r="C5" s="224" t="s">
        <v>1</v>
      </c>
      <c r="D5" s="224" t="s">
        <v>2</v>
      </c>
      <c r="E5" s="227" t="s">
        <v>56</v>
      </c>
      <c r="F5" s="269" t="s">
        <v>26</v>
      </c>
      <c r="G5" s="271"/>
      <c r="H5" s="271"/>
      <c r="I5" s="271"/>
      <c r="J5" s="271"/>
      <c r="K5" s="270"/>
      <c r="L5" s="261" t="s">
        <v>57</v>
      </c>
      <c r="M5" s="261" t="s">
        <v>5</v>
      </c>
      <c r="N5" s="224" t="s">
        <v>6</v>
      </c>
      <c r="O5" s="224"/>
      <c r="P5" s="224"/>
      <c r="Q5" s="261" t="s">
        <v>7</v>
      </c>
      <c r="R5" s="261" t="s">
        <v>8</v>
      </c>
      <c r="S5" s="261" t="s">
        <v>9</v>
      </c>
      <c r="T5" s="225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0"/>
      <c r="B6" s="260"/>
      <c r="C6" s="224"/>
      <c r="D6" s="224"/>
      <c r="E6" s="227"/>
      <c r="F6" s="269" t="s">
        <v>59</v>
      </c>
      <c r="G6" s="270"/>
      <c r="H6" s="269" t="s">
        <v>158</v>
      </c>
      <c r="I6" s="271"/>
      <c r="J6" s="272" t="s">
        <v>27</v>
      </c>
      <c r="K6" s="261" t="s">
        <v>4</v>
      </c>
      <c r="L6" s="262"/>
      <c r="M6" s="262"/>
      <c r="N6" s="267" t="s">
        <v>12</v>
      </c>
      <c r="O6" s="261" t="s">
        <v>13</v>
      </c>
      <c r="P6" s="261" t="s">
        <v>34</v>
      </c>
      <c r="Q6" s="262"/>
      <c r="R6" s="262"/>
      <c r="S6" s="262"/>
      <c r="T6" s="226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0"/>
      <c r="B7" s="260"/>
      <c r="C7" s="261"/>
      <c r="D7" s="261"/>
      <c r="E7" s="227"/>
      <c r="F7" s="202" t="s">
        <v>40</v>
      </c>
      <c r="G7" s="200" t="s">
        <v>18</v>
      </c>
      <c r="H7" s="202" t="s">
        <v>40</v>
      </c>
      <c r="I7" s="128" t="s">
        <v>18</v>
      </c>
      <c r="J7" s="273"/>
      <c r="K7" s="262"/>
      <c r="L7" s="263"/>
      <c r="M7" s="263"/>
      <c r="N7" s="268"/>
      <c r="O7" s="262"/>
      <c r="P7" s="262"/>
      <c r="Q7" s="262"/>
      <c r="R7" s="262"/>
      <c r="S7" s="262"/>
      <c r="T7" s="226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2500000</v>
      </c>
      <c r="F10" s="92">
        <f>VLOOKUP(B10,'CC - 8'!$B$8:$AS$21,36,0)</f>
        <v>27</v>
      </c>
      <c r="G10" s="145">
        <f t="shared" ref="G10:G12" si="3">ROUND(E10/$U$2*F10,0)</f>
        <v>2500000</v>
      </c>
      <c r="H10" s="92">
        <f>(VLOOKUP(B10,'CC - 8'!$B$8:$AS$21,37,0)+VLOOKUP(B10,'CC - 8'!$B$8:$AS$21,38,0))</f>
        <v>0</v>
      </c>
      <c r="I10" s="145">
        <f t="shared" ref="I10:I12" si="4">ROUND(E10/$U$2*H10,0)</f>
        <v>0</v>
      </c>
      <c r="J10" s="93">
        <f t="shared" ref="J10:K12" si="5">F10+H10</f>
        <v>27</v>
      </c>
      <c r="K10" s="39">
        <f>G10+I10</f>
        <v>2500000</v>
      </c>
      <c r="L10" s="90">
        <f t="shared" ref="L10:L12" si="6">+F10*15000</f>
        <v>405000</v>
      </c>
      <c r="M10" s="40">
        <f t="shared" ref="M10:M12" si="7">K10+L10</f>
        <v>2905000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2905000</v>
      </c>
      <c r="R10" s="39">
        <f>VLOOKUP(B10,DS,23,0)</f>
        <v>0</v>
      </c>
      <c r="S10" s="45">
        <f t="shared" ref="S10:S12" si="9">Q10-R10</f>
        <v>2905000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2000000</v>
      </c>
      <c r="F11" s="92">
        <f>VLOOKUP(B11,'CC - 8'!$B$8:$AS$21,36,0)</f>
        <v>27</v>
      </c>
      <c r="G11" s="145">
        <f t="shared" si="3"/>
        <v>2000000</v>
      </c>
      <c r="H11" s="92">
        <f>(VLOOKUP(B11,'CC - 8'!$B$8:$AS$21,37,0)+VLOOKUP(B11,'CC - 8'!$B$8:$AS$21,38,0))</f>
        <v>0</v>
      </c>
      <c r="I11" s="145">
        <f t="shared" si="4"/>
        <v>0</v>
      </c>
      <c r="J11" s="93">
        <f t="shared" si="5"/>
        <v>27</v>
      </c>
      <c r="K11" s="39">
        <f t="shared" si="5"/>
        <v>2000000</v>
      </c>
      <c r="L11" s="90">
        <f t="shared" si="6"/>
        <v>405000</v>
      </c>
      <c r="M11" s="40">
        <f t="shared" si="7"/>
        <v>2405000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2405000</v>
      </c>
      <c r="R11" s="39">
        <f>VLOOKUP(B11,DS,23,0)</f>
        <v>0</v>
      </c>
      <c r="S11" s="45">
        <f t="shared" si="9"/>
        <v>2405000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2000000</v>
      </c>
      <c r="F12" s="92">
        <f>VLOOKUP(B12,'CC - 8'!$B$8:$AS$21,36,0)</f>
        <v>27</v>
      </c>
      <c r="G12" s="145">
        <f t="shared" si="3"/>
        <v>2000000</v>
      </c>
      <c r="H12" s="92">
        <f>(VLOOKUP(B12,'CC - 8'!$B$8:$AS$21,37,0)+VLOOKUP(B12,'CC - 8'!$B$8:$AS$21,38,0))</f>
        <v>0</v>
      </c>
      <c r="I12" s="145">
        <f t="shared" si="4"/>
        <v>0</v>
      </c>
      <c r="J12" s="93">
        <f t="shared" si="5"/>
        <v>27</v>
      </c>
      <c r="K12" s="39">
        <f t="shared" si="5"/>
        <v>2000000</v>
      </c>
      <c r="L12" s="90">
        <f t="shared" si="6"/>
        <v>405000</v>
      </c>
      <c r="M12" s="40">
        <f t="shared" si="7"/>
        <v>2405000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2405000</v>
      </c>
      <c r="R12" s="39">
        <f>VLOOKUP(B12,DS,23,0)</f>
        <v>0</v>
      </c>
      <c r="S12" s="45">
        <f t="shared" si="9"/>
        <v>2405000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56" t="s">
        <v>25</v>
      </c>
      <c r="B14" s="256"/>
      <c r="C14" s="256"/>
      <c r="D14" s="256"/>
      <c r="E14" s="140">
        <f>SUM(E9:E12)</f>
        <v>6500000</v>
      </c>
      <c r="F14" s="140"/>
      <c r="G14" s="140">
        <f>SUM(G9:G12)</f>
        <v>6500000</v>
      </c>
      <c r="H14" s="140"/>
      <c r="I14" s="140">
        <f>SUM(I9:I12)</f>
        <v>0</v>
      </c>
      <c r="J14" s="140"/>
      <c r="K14" s="140">
        <f t="shared" ref="K14:S14" si="10">SUM(K9:K12)</f>
        <v>6500000</v>
      </c>
      <c r="L14" s="140">
        <f t="shared" si="10"/>
        <v>1215000</v>
      </c>
      <c r="M14" s="140">
        <f t="shared" si="10"/>
        <v>7715000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7715000</v>
      </c>
      <c r="R14" s="140">
        <f t="shared" si="10"/>
        <v>0</v>
      </c>
      <c r="S14" s="140">
        <f t="shared" si="10"/>
        <v>7715000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- 8'!$B$8:$AS$21,36,0)</f>
        <v>27</v>
      </c>
      <c r="G16" s="145">
        <f t="shared" ref="G16:G18" si="14">ROUND(E16/$U$2*F16,0)</f>
        <v>1800000</v>
      </c>
      <c r="H16" s="92">
        <f>(VLOOKUP(B16,'CC - 8'!$B$8:$AS$21,37,0)+VLOOKUP(B16,'CC - 8'!$B$8:$AS$21,38,0))</f>
        <v>0</v>
      </c>
      <c r="I16" s="145">
        <f t="shared" ref="I16:I18" si="15">ROUND(E16/$U$2*H16,0)</f>
        <v>0</v>
      </c>
      <c r="J16" s="146">
        <f t="shared" ref="J16:K18" si="16">F16+H16</f>
        <v>27</v>
      </c>
      <c r="K16" s="39">
        <f t="shared" si="16"/>
        <v>1800000</v>
      </c>
      <c r="L16" s="90">
        <f t="shared" ref="L16:L18" si="17">+F16*15000</f>
        <v>405000</v>
      </c>
      <c r="M16" s="40">
        <f t="shared" ref="M16:M18" si="18">K16+L16</f>
        <v>2205000</v>
      </c>
      <c r="N16" s="40">
        <f>IF(VLOOKUP(B16,DS,9,0)="x",'L - 8'!E16*$N$4,0)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2205000</v>
      </c>
      <c r="R16" s="39">
        <f t="shared" ref="R16:R18" si="21">VLOOKUP(B16,DS,23,0)</f>
        <v>0</v>
      </c>
      <c r="S16" s="45">
        <f>Q16-R16</f>
        <v>2205000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- 8'!$B$8:$AS$21,36,0)</f>
        <v>27</v>
      </c>
      <c r="G17" s="145">
        <f t="shared" si="14"/>
        <v>1800000</v>
      </c>
      <c r="H17" s="92">
        <f>(VLOOKUP(B17,'CC - 8'!$B$8:$AS$21,37,0)+VLOOKUP(B17,'CC - 8'!$B$8:$AS$21,38,0))</f>
        <v>0</v>
      </c>
      <c r="I17" s="145">
        <f t="shared" si="15"/>
        <v>0</v>
      </c>
      <c r="J17" s="146">
        <f t="shared" si="16"/>
        <v>27</v>
      </c>
      <c r="K17" s="39">
        <f t="shared" si="16"/>
        <v>1800000</v>
      </c>
      <c r="L17" s="90">
        <f t="shared" si="17"/>
        <v>405000</v>
      </c>
      <c r="M17" s="40">
        <f t="shared" si="18"/>
        <v>2205000</v>
      </c>
      <c r="N17" s="40">
        <f>IF(VLOOKUP(B17,DS,9,0)="x",'L - 8'!E17*$N$4,0)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2205000</v>
      </c>
      <c r="R17" s="39">
        <f t="shared" si="21"/>
        <v>0</v>
      </c>
      <c r="S17" s="45">
        <f t="shared" ref="S17:S18" si="23">Q17-R17</f>
        <v>2205000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- 8'!$B$8:$AS$21,36,0)</f>
        <v>27</v>
      </c>
      <c r="G18" s="145">
        <f t="shared" si="14"/>
        <v>1500000</v>
      </c>
      <c r="H18" s="92">
        <f>(VLOOKUP(B18,'CC - 8'!$B$8:$AS$21,37,0)+VLOOKUP(B18,'CC - 8'!$B$8:$AS$21,38,0))</f>
        <v>0</v>
      </c>
      <c r="I18" s="145">
        <f t="shared" si="15"/>
        <v>0</v>
      </c>
      <c r="J18" s="146">
        <f t="shared" si="16"/>
        <v>27</v>
      </c>
      <c r="K18" s="39">
        <f t="shared" si="16"/>
        <v>1500000</v>
      </c>
      <c r="L18" s="90">
        <f t="shared" si="17"/>
        <v>405000</v>
      </c>
      <c r="M18" s="40">
        <f t="shared" si="18"/>
        <v>1905000</v>
      </c>
      <c r="N18" s="40">
        <f>IF(VLOOKUP(B18,DS,9,0)="x",'L - 8'!E18*$N$4,0)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1905000</v>
      </c>
      <c r="R18" s="39">
        <f t="shared" si="21"/>
        <v>0</v>
      </c>
      <c r="S18" s="45">
        <f t="shared" si="23"/>
        <v>1905000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56" t="s">
        <v>25</v>
      </c>
      <c r="B20" s="256"/>
      <c r="C20" s="256"/>
      <c r="D20" s="256"/>
      <c r="E20" s="140">
        <f>SUM(E15:E19)</f>
        <v>5100000</v>
      </c>
      <c r="F20" s="140"/>
      <c r="G20" s="140">
        <f t="shared" ref="G20:S20" si="24">SUM(G15:G19)</f>
        <v>5100000</v>
      </c>
      <c r="H20" s="140"/>
      <c r="I20" s="140">
        <f t="shared" si="24"/>
        <v>0</v>
      </c>
      <c r="J20" s="140"/>
      <c r="K20" s="140">
        <f t="shared" si="24"/>
        <v>5100000</v>
      </c>
      <c r="L20" s="140">
        <f t="shared" si="24"/>
        <v>1215000</v>
      </c>
      <c r="M20" s="140">
        <f t="shared" si="24"/>
        <v>6315000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6315000</v>
      </c>
      <c r="R20" s="140">
        <f t="shared" si="24"/>
        <v>0</v>
      </c>
      <c r="S20" s="140">
        <f t="shared" si="24"/>
        <v>6315000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08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O6:O7"/>
    <mergeCell ref="P6:P7"/>
    <mergeCell ref="A14:D14"/>
    <mergeCell ref="A20:D20"/>
    <mergeCell ref="N5:P5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F16" sqref="F16:AI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09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53" t="s">
        <v>185</v>
      </c>
      <c r="AN1" s="254"/>
      <c r="AO1" s="254"/>
      <c r="AP1" s="254"/>
      <c r="AQ1" s="254"/>
      <c r="AR1" s="254"/>
      <c r="AS1" s="25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40787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49" t="s">
        <v>28</v>
      </c>
      <c r="B5" s="249" t="s">
        <v>3</v>
      </c>
      <c r="C5" s="249" t="s">
        <v>1</v>
      </c>
      <c r="D5" s="245" t="s">
        <v>29</v>
      </c>
      <c r="E5" s="249" t="s">
        <v>30</v>
      </c>
      <c r="F5" s="118">
        <f>+E4</f>
        <v>40787</v>
      </c>
      <c r="G5" s="118">
        <f t="shared" ref="G5:AJ5" si="0">F5+1</f>
        <v>40788</v>
      </c>
      <c r="H5" s="118">
        <f t="shared" si="0"/>
        <v>40789</v>
      </c>
      <c r="I5" s="118">
        <f t="shared" si="0"/>
        <v>40790</v>
      </c>
      <c r="J5" s="118">
        <f t="shared" si="0"/>
        <v>40791</v>
      </c>
      <c r="K5" s="118">
        <f t="shared" si="0"/>
        <v>40792</v>
      </c>
      <c r="L5" s="118">
        <f t="shared" si="0"/>
        <v>40793</v>
      </c>
      <c r="M5" s="118">
        <f t="shared" si="0"/>
        <v>40794</v>
      </c>
      <c r="N5" s="118">
        <f t="shared" si="0"/>
        <v>40795</v>
      </c>
      <c r="O5" s="118">
        <f t="shared" si="0"/>
        <v>40796</v>
      </c>
      <c r="P5" s="118">
        <f t="shared" si="0"/>
        <v>40797</v>
      </c>
      <c r="Q5" s="118">
        <f t="shared" si="0"/>
        <v>40798</v>
      </c>
      <c r="R5" s="118">
        <f t="shared" si="0"/>
        <v>40799</v>
      </c>
      <c r="S5" s="118">
        <f t="shared" si="0"/>
        <v>40800</v>
      </c>
      <c r="T5" s="118">
        <f t="shared" si="0"/>
        <v>40801</v>
      </c>
      <c r="U5" s="118">
        <f t="shared" si="0"/>
        <v>40802</v>
      </c>
      <c r="V5" s="118">
        <f t="shared" si="0"/>
        <v>40803</v>
      </c>
      <c r="W5" s="118">
        <f t="shared" si="0"/>
        <v>40804</v>
      </c>
      <c r="X5" s="118">
        <f t="shared" si="0"/>
        <v>40805</v>
      </c>
      <c r="Y5" s="118">
        <f t="shared" si="0"/>
        <v>40806</v>
      </c>
      <c r="Z5" s="118">
        <f t="shared" si="0"/>
        <v>40807</v>
      </c>
      <c r="AA5" s="118">
        <f t="shared" si="0"/>
        <v>40808</v>
      </c>
      <c r="AB5" s="118">
        <f t="shared" si="0"/>
        <v>40809</v>
      </c>
      <c r="AC5" s="118">
        <f t="shared" si="0"/>
        <v>40810</v>
      </c>
      <c r="AD5" s="118">
        <f t="shared" si="0"/>
        <v>40811</v>
      </c>
      <c r="AE5" s="118">
        <f t="shared" si="0"/>
        <v>40812</v>
      </c>
      <c r="AF5" s="118">
        <f t="shared" si="0"/>
        <v>40813</v>
      </c>
      <c r="AG5" s="118">
        <f t="shared" si="0"/>
        <v>40814</v>
      </c>
      <c r="AH5" s="118">
        <f>AG5+1</f>
        <v>40815</v>
      </c>
      <c r="AI5" s="118">
        <f t="shared" si="0"/>
        <v>40816</v>
      </c>
      <c r="AJ5" s="118">
        <f t="shared" si="0"/>
        <v>40817</v>
      </c>
      <c r="AK5" s="250" t="s">
        <v>15</v>
      </c>
      <c r="AL5" s="251"/>
      <c r="AM5" s="252"/>
      <c r="AN5" s="247" t="s">
        <v>45</v>
      </c>
      <c r="AO5" s="247" t="s">
        <v>41</v>
      </c>
      <c r="AP5" s="247" t="s">
        <v>42</v>
      </c>
      <c r="AQ5" s="247" t="s">
        <v>43</v>
      </c>
      <c r="AR5" s="247" t="s">
        <v>44</v>
      </c>
      <c r="AS5" s="245" t="s">
        <v>0</v>
      </c>
      <c r="AT5" s="24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46"/>
      <c r="B6" s="246"/>
      <c r="C6" s="246"/>
      <c r="D6" s="246"/>
      <c r="E6" s="246"/>
      <c r="F6" s="175" t="str">
        <f>CHOOSE(WEEKDAY(F5),"C.Nhật","T.Hai","T.Ba","T.Tư","T.Năm","T.Sáu","T.Bảy")</f>
        <v>T.Năm</v>
      </c>
      <c r="G6" s="175" t="str">
        <f t="shared" ref="G6:AJ6" si="1">CHOOSE(WEEKDAY(G5),"C.Nhật","T.Hai","T.Ba","T.Tư","T.Năm","T.Sáu","T.Bảy")</f>
        <v>T.Sáu</v>
      </c>
      <c r="H6" s="175" t="str">
        <f t="shared" si="1"/>
        <v>T.Bảy</v>
      </c>
      <c r="I6" s="175" t="str">
        <f t="shared" si="1"/>
        <v>C.Nhật</v>
      </c>
      <c r="J6" s="175" t="str">
        <f t="shared" si="1"/>
        <v>T.Hai</v>
      </c>
      <c r="K6" s="175" t="str">
        <f t="shared" si="1"/>
        <v>T.Ba</v>
      </c>
      <c r="L6" s="175" t="str">
        <f t="shared" si="1"/>
        <v>T.Tư</v>
      </c>
      <c r="M6" s="175" t="str">
        <f t="shared" si="1"/>
        <v>T.Năm</v>
      </c>
      <c r="N6" s="175" t="str">
        <f t="shared" si="1"/>
        <v>T.Sáu</v>
      </c>
      <c r="O6" s="175" t="str">
        <f t="shared" si="1"/>
        <v>T.Bảy</v>
      </c>
      <c r="P6" s="175" t="str">
        <f t="shared" si="1"/>
        <v>C.Nhật</v>
      </c>
      <c r="Q6" s="175" t="str">
        <f t="shared" si="1"/>
        <v>T.Hai</v>
      </c>
      <c r="R6" s="175" t="str">
        <f t="shared" si="1"/>
        <v>T.Ba</v>
      </c>
      <c r="S6" s="175" t="str">
        <f t="shared" si="1"/>
        <v>T.Tư</v>
      </c>
      <c r="T6" s="175" t="str">
        <f t="shared" si="1"/>
        <v>T.Năm</v>
      </c>
      <c r="U6" s="175" t="str">
        <f t="shared" si="1"/>
        <v>T.Sáu</v>
      </c>
      <c r="V6" s="175" t="str">
        <f t="shared" si="1"/>
        <v>T.Bảy</v>
      </c>
      <c r="W6" s="175" t="str">
        <f t="shared" si="1"/>
        <v>C.Nhật</v>
      </c>
      <c r="X6" s="175" t="str">
        <f t="shared" si="1"/>
        <v>T.Hai</v>
      </c>
      <c r="Y6" s="175" t="str">
        <f t="shared" si="1"/>
        <v>T.Ba</v>
      </c>
      <c r="Z6" s="175" t="str">
        <f t="shared" si="1"/>
        <v>T.Tư</v>
      </c>
      <c r="AA6" s="175" t="str">
        <f t="shared" si="1"/>
        <v>T.Năm</v>
      </c>
      <c r="AB6" s="175" t="str">
        <f t="shared" si="1"/>
        <v>T.Sáu</v>
      </c>
      <c r="AC6" s="175" t="str">
        <f t="shared" si="1"/>
        <v>T.Bảy</v>
      </c>
      <c r="AD6" s="175" t="str">
        <f t="shared" si="1"/>
        <v>C.Nhật</v>
      </c>
      <c r="AE6" s="175" t="str">
        <f t="shared" si="1"/>
        <v>T.Hai</v>
      </c>
      <c r="AF6" s="175" t="str">
        <f t="shared" si="1"/>
        <v>T.Ba</v>
      </c>
      <c r="AG6" s="175" t="str">
        <f t="shared" si="1"/>
        <v>T.Tư</v>
      </c>
      <c r="AH6" s="175" t="str">
        <f t="shared" si="1"/>
        <v>T.Năm</v>
      </c>
      <c r="AI6" s="175" t="str">
        <f t="shared" si="1"/>
        <v>T.Sáu</v>
      </c>
      <c r="AJ6" s="175" t="str">
        <f t="shared" si="1"/>
        <v>T.Bảy</v>
      </c>
      <c r="AK6" s="176" t="s">
        <v>16</v>
      </c>
      <c r="AL6" s="176" t="s">
        <v>31</v>
      </c>
      <c r="AM6" s="177" t="s">
        <v>17</v>
      </c>
      <c r="AN6" s="248"/>
      <c r="AO6" s="248"/>
      <c r="AP6" s="248"/>
      <c r="AQ6" s="248"/>
      <c r="AR6" s="248"/>
      <c r="AS6" s="246"/>
      <c r="AT6" s="24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38">
        <v>1</v>
      </c>
      <c r="B9" s="238" t="s">
        <v>161</v>
      </c>
      <c r="C9" s="240" t="str">
        <f>VLOOKUP(B9,DS,2,0)</f>
        <v>Lê Thị Dung</v>
      </c>
      <c r="D9" s="228" t="str">
        <f>VLOOKUP(B9,DS,3,0)</f>
        <v>Giám Đốc</v>
      </c>
      <c r="E9" s="68" t="s">
        <v>32</v>
      </c>
      <c r="F9" s="143">
        <v>8</v>
      </c>
      <c r="G9" s="143"/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30">
        <f>((SUM(F9:AJ9))/8)-(SUMIF($F$6:$AJ$6,"C.Nhật",F9:AJ9)/8)</f>
        <v>25</v>
      </c>
      <c r="AL9" s="230">
        <f>SUM(F10:AJ10)/8*1.5</f>
        <v>0</v>
      </c>
      <c r="AM9" s="232">
        <f>SUMIF($F$6:$AJ$6,"C.Nhật",$F9:$AJ10)/8*2</f>
        <v>0</v>
      </c>
      <c r="AN9" s="234">
        <f>SUM(AK9:AM10)</f>
        <v>25</v>
      </c>
      <c r="AO9" s="236">
        <v>0</v>
      </c>
      <c r="AP9" s="234"/>
      <c r="AQ9" s="234"/>
      <c r="AR9" s="234"/>
      <c r="AS9" s="243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39"/>
      <c r="B10" s="239"/>
      <c r="C10" s="241"/>
      <c r="D10" s="229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31"/>
      <c r="AL10" s="231"/>
      <c r="AM10" s="233"/>
      <c r="AN10" s="235"/>
      <c r="AO10" s="237"/>
      <c r="AP10" s="235"/>
      <c r="AQ10" s="235"/>
      <c r="AR10" s="235"/>
      <c r="AS10" s="244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38">
        <f>A7+1</f>
        <v>2</v>
      </c>
      <c r="B11" s="238" t="s">
        <v>162</v>
      </c>
      <c r="C11" s="240" t="str">
        <f>VLOOKUP(B11,DS,2,0)</f>
        <v>Phan Văn Hiền</v>
      </c>
      <c r="D11" s="228" t="str">
        <f>VLOOKUP(B11,DS,3,0)</f>
        <v>Quản Đốc</v>
      </c>
      <c r="E11" s="68" t="s">
        <v>32</v>
      </c>
      <c r="F11" s="143">
        <v>8</v>
      </c>
      <c r="G11" s="143"/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30">
        <f t="shared" ref="AK11" si="2">((SUM(F11:AJ11))/8)-(SUMIF($F$6:$AJ$6,"C.Nhật",F11:AJ11)/8)</f>
        <v>25</v>
      </c>
      <c r="AL11" s="230">
        <f t="shared" ref="AL11" si="3">SUM(F12:AJ12)/8*1.5</f>
        <v>0</v>
      </c>
      <c r="AM11" s="232">
        <f t="shared" ref="AM11:AM13" si="4">SUMIF($F$6:$AJ$6,"C.Nhật",$F11:$AJ12)/8*2</f>
        <v>0</v>
      </c>
      <c r="AN11" s="234">
        <f t="shared" ref="AN11" si="5">SUM(AK11:AM12)</f>
        <v>25</v>
      </c>
      <c r="AO11" s="236">
        <v>0</v>
      </c>
      <c r="AP11" s="234"/>
      <c r="AQ11" s="234"/>
      <c r="AR11" s="234"/>
      <c r="AS11" s="243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39"/>
      <c r="B12" s="239"/>
      <c r="C12" s="241"/>
      <c r="D12" s="229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31"/>
      <c r="AL12" s="231"/>
      <c r="AM12" s="233"/>
      <c r="AN12" s="235"/>
      <c r="AO12" s="237"/>
      <c r="AP12" s="235"/>
      <c r="AQ12" s="235"/>
      <c r="AR12" s="235"/>
      <c r="AS12" s="244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38">
        <f>A9+1</f>
        <v>2</v>
      </c>
      <c r="B13" s="238" t="s">
        <v>183</v>
      </c>
      <c r="C13" s="240" t="str">
        <f>VLOOKUP(B13,DS,2,0)</f>
        <v>Nguyễn Thị Thu Sương</v>
      </c>
      <c r="D13" s="228" t="str">
        <f>VLOOKUP(B13,DS,3,0)</f>
        <v>Kinh Doanh</v>
      </c>
      <c r="E13" s="68" t="s">
        <v>32</v>
      </c>
      <c r="F13" s="143">
        <v>8</v>
      </c>
      <c r="G13" s="143"/>
      <c r="H13" s="143">
        <v>8</v>
      </c>
      <c r="I13" s="143"/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/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/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/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30">
        <f t="shared" ref="AK13" si="6">((SUM(F13:AJ13))/8)-(SUMIF($F$6:$AJ$6,"C.Nhật",F13:AJ13)/8)</f>
        <v>25</v>
      </c>
      <c r="AL13" s="230">
        <f t="shared" ref="AL13" si="7">SUM(F14:AJ14)/8*1.5</f>
        <v>0</v>
      </c>
      <c r="AM13" s="232">
        <f t="shared" si="4"/>
        <v>0</v>
      </c>
      <c r="AN13" s="234">
        <f t="shared" ref="AN13" si="8">SUM(AK13:AM14)</f>
        <v>25</v>
      </c>
      <c r="AO13" s="236">
        <v>0</v>
      </c>
      <c r="AP13" s="234"/>
      <c r="AQ13" s="234"/>
      <c r="AR13" s="234"/>
      <c r="AS13" s="243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39"/>
      <c r="B14" s="239"/>
      <c r="C14" s="241"/>
      <c r="D14" s="229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31"/>
      <c r="AL14" s="231"/>
      <c r="AM14" s="233"/>
      <c r="AN14" s="235"/>
      <c r="AO14" s="237"/>
      <c r="AP14" s="235"/>
      <c r="AQ14" s="235"/>
      <c r="AR14" s="235"/>
      <c r="AS14" s="244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38">
        <v>1</v>
      </c>
      <c r="B16" s="238" t="s">
        <v>163</v>
      </c>
      <c r="C16" s="240" t="str">
        <f>VLOOKUP(B16,DS,2,0)</f>
        <v>Nguyễn Trường Giang</v>
      </c>
      <c r="D16" s="228" t="str">
        <f>VLOOKUP(B16,DS,3,0)</f>
        <v>Thợ in</v>
      </c>
      <c r="E16" s="68" t="s">
        <v>32</v>
      </c>
      <c r="F16" s="143">
        <v>8</v>
      </c>
      <c r="G16" s="143"/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30">
        <f t="shared" ref="AK16" si="9">((SUM(F16:AJ16))/8)-(SUMIF($F$6:$AJ$6,"C.Nhật",F16:AJ16)/8)</f>
        <v>25</v>
      </c>
      <c r="AL16" s="230">
        <f t="shared" ref="AL16" si="10">SUM(F17:AJ17)/8*1.5</f>
        <v>0</v>
      </c>
      <c r="AM16" s="232">
        <f>SUMIF($F$6:$AJ$6,"C.Nhật",$F16:$AJ17)/8*2</f>
        <v>0</v>
      </c>
      <c r="AN16" s="234">
        <f>SUM(AK16:AM17)</f>
        <v>25</v>
      </c>
      <c r="AO16" s="236">
        <v>0</v>
      </c>
      <c r="AP16" s="234"/>
      <c r="AQ16" s="234"/>
      <c r="AR16" s="234"/>
      <c r="AS16" s="243"/>
      <c r="AT16" s="20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39"/>
      <c r="B17" s="239"/>
      <c r="C17" s="241"/>
      <c r="D17" s="229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31"/>
      <c r="AL17" s="231"/>
      <c r="AM17" s="233"/>
      <c r="AN17" s="235"/>
      <c r="AO17" s="237"/>
      <c r="AP17" s="235"/>
      <c r="AQ17" s="235"/>
      <c r="AR17" s="235"/>
      <c r="AS17" s="244"/>
      <c r="AT17" s="20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38">
        <f>A16+1</f>
        <v>2</v>
      </c>
      <c r="B18" s="238" t="s">
        <v>164</v>
      </c>
      <c r="C18" s="240" t="str">
        <f>VLOOKUP(B18,DS,2,0)</f>
        <v>Đoàn Hồng Phong</v>
      </c>
      <c r="D18" s="228" t="str">
        <f>VLOOKUP(B18,DS,3,0)</f>
        <v>Thợ đóng - xả</v>
      </c>
      <c r="E18" s="68" t="s">
        <v>32</v>
      </c>
      <c r="F18" s="143">
        <v>8</v>
      </c>
      <c r="G18" s="143"/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30">
        <f t="shared" ref="AK18" si="11">((SUM(F18:AJ18))/8)-(SUMIF($F$6:$AJ$6,"C.Nhật",F18:AJ18)/8)</f>
        <v>25</v>
      </c>
      <c r="AL18" s="230">
        <f t="shared" ref="AL18" si="12">SUM(F19:AJ19)/8*1.5</f>
        <v>0</v>
      </c>
      <c r="AM18" s="232">
        <f>SUMIF($F$6:$AJ$6,"C.Nhật",$F18:$AJ19)/8*2</f>
        <v>0</v>
      </c>
      <c r="AN18" s="234">
        <f t="shared" ref="AN18" si="13">SUM(AK18:AM19)</f>
        <v>25</v>
      </c>
      <c r="AO18" s="236">
        <v>0</v>
      </c>
      <c r="AP18" s="234"/>
      <c r="AQ18" s="234"/>
      <c r="AR18" s="234"/>
      <c r="AS18" s="243"/>
      <c r="AT18" s="20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39"/>
      <c r="B19" s="239"/>
      <c r="C19" s="241"/>
      <c r="D19" s="229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31"/>
      <c r="AL19" s="231"/>
      <c r="AM19" s="233"/>
      <c r="AN19" s="235"/>
      <c r="AO19" s="237"/>
      <c r="AP19" s="235"/>
      <c r="AQ19" s="235"/>
      <c r="AR19" s="235"/>
      <c r="AS19" s="244"/>
      <c r="AT19" s="20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38">
        <f t="shared" ref="A20" si="14">A18+1</f>
        <v>3</v>
      </c>
      <c r="B20" s="238" t="s">
        <v>165</v>
      </c>
      <c r="C20" s="240" t="str">
        <f>VLOOKUP(B20,DS,2,0)</f>
        <v>Trần Hữu Tình</v>
      </c>
      <c r="D20" s="228" t="str">
        <f>VLOOKUP(B20,DS,3,0)</f>
        <v>Công nhân</v>
      </c>
      <c r="E20" s="68" t="s">
        <v>32</v>
      </c>
      <c r="F20" s="143">
        <v>8</v>
      </c>
      <c r="G20" s="143"/>
      <c r="H20" s="143">
        <v>8</v>
      </c>
      <c r="I20" s="143"/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/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/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/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30">
        <f t="shared" ref="AK20" si="15">((SUM(F20:AJ20))/8)-(SUMIF($F$6:$AJ$6,"C.Nhật",F20:AJ20)/8)</f>
        <v>25</v>
      </c>
      <c r="AL20" s="230">
        <f t="shared" ref="AL20" si="16">SUM(F21:AJ21)/8*1.5</f>
        <v>0</v>
      </c>
      <c r="AM20" s="232">
        <f>SUMIF($F$6:$AJ$6,"C.Nhật",$F20:$AJ21)/8*2</f>
        <v>0</v>
      </c>
      <c r="AN20" s="234">
        <f t="shared" ref="AN20" si="17">SUM(AK20:AM21)</f>
        <v>25</v>
      </c>
      <c r="AO20" s="236">
        <v>0</v>
      </c>
      <c r="AP20" s="234"/>
      <c r="AQ20" s="234"/>
      <c r="AR20" s="234"/>
      <c r="AS20" s="243"/>
      <c r="AT20" s="20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39"/>
      <c r="B21" s="239"/>
      <c r="C21" s="241"/>
      <c r="D21" s="229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31"/>
      <c r="AL21" s="231"/>
      <c r="AM21" s="233"/>
      <c r="AN21" s="235"/>
      <c r="AO21" s="237"/>
      <c r="AP21" s="235"/>
      <c r="AQ21" s="235"/>
      <c r="AR21" s="235"/>
      <c r="AS21" s="244"/>
      <c r="AT21" s="20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9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9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P20:AP21"/>
    <mergeCell ref="AQ20:AQ21"/>
    <mergeCell ref="AR20:AR21"/>
    <mergeCell ref="AS20:AS21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3:AS14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3:AM14"/>
    <mergeCell ref="AN13:AN14"/>
    <mergeCell ref="AO13:AO14"/>
    <mergeCell ref="AP13:AP14"/>
    <mergeCell ref="AQ13:AQ14"/>
    <mergeCell ref="AR13:AR14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</mergeCells>
  <conditionalFormatting sqref="F5:AJ6 AJ16:AJ21 AJ13:AJ14 F9:AJ10 F11:AI14">
    <cfRule type="expression" dxfId="20" priority="14" stopIfTrue="1">
      <formula>IF(WEEKDAY(F$5)=1,TRUE,FALSE)</formula>
    </cfRule>
  </conditionalFormatting>
  <conditionalFormatting sqref="AJ13:AJ14 F9:AJ10 F11:AI14">
    <cfRule type="expression" dxfId="19" priority="13" stopIfTrue="1">
      <formula>IF(WEEKDAY(F$5)=1,TRUE,FALSE)</formula>
    </cfRule>
  </conditionalFormatting>
  <conditionalFormatting sqref="AJ16:AJ21">
    <cfRule type="expression" dxfId="18" priority="12" stopIfTrue="1">
      <formula>IF(WEEKDAY(AJ$5)=1,TRUE,FALSE)</formula>
    </cfRule>
  </conditionalFormatting>
  <conditionalFormatting sqref="AJ16:AJ21">
    <cfRule type="expression" dxfId="17" priority="11" stopIfTrue="1">
      <formula>IF(WEEKDAY(AJ$5)=1,TRUE,FALSE)</formula>
    </cfRule>
  </conditionalFormatting>
  <conditionalFormatting sqref="AJ16:AJ21">
    <cfRule type="expression" dxfId="15" priority="9" stopIfTrue="1">
      <formula>IF(WEEKDAY(AJ$5)=1,TRUE,FALSE)</formula>
    </cfRule>
  </conditionalFormatting>
  <conditionalFormatting sqref="AJ16:AJ21">
    <cfRule type="expression" dxfId="13" priority="7" stopIfTrue="1">
      <formula>IF(WEEKDAY(AJ$5)=1,TRUE,FALSE)</formula>
    </cfRule>
  </conditionalFormatting>
  <conditionalFormatting sqref="AJ16:AJ21">
    <cfRule type="expression" dxfId="12" priority="6" stopIfTrue="1">
      <formula>IF(WEEKDAY(AJ$5)=1,TRUE,FALSE)</formula>
    </cfRule>
  </conditionalFormatting>
  <conditionalFormatting sqref="AJ16:AJ21">
    <cfRule type="expression" dxfId="11" priority="5" stopIfTrue="1">
      <formula>IF(WEEKDAY(AJ$5)=1,TRUE,FALSE)</formula>
    </cfRule>
  </conditionalFormatting>
  <conditionalFormatting sqref="AJ11:AJ12">
    <cfRule type="expression" dxfId="10" priority="4" stopIfTrue="1">
      <formula>IF(WEEKDAY(AJ$5)=1,TRUE,FALSE)</formula>
    </cfRule>
  </conditionalFormatting>
  <conditionalFormatting sqref="AJ11:AJ12">
    <cfRule type="expression" dxfId="9" priority="3" stopIfTrue="1">
      <formula>IF(WEEKDAY(AJ$5)=1,TRUE,FALSE)</formula>
    </cfRule>
  </conditionalFormatting>
  <conditionalFormatting sqref="F16:AI21">
    <cfRule type="expression" dxfId="3" priority="2" stopIfTrue="1">
      <formula>IF(WEEKDAY(F$5)=1,TRUE,FALSE)</formula>
    </cfRule>
  </conditionalFormatting>
  <conditionalFormatting sqref="F16:AI21">
    <cfRule type="expression" dxfId="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tabSelected="1"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U3" sqref="U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57" t="str">
        <f>"BẢNG THANH TOÁN LƯƠNG THÁNG"&amp;" "&amp;TEXT($E$4,"mm")&amp;" / "&amp;TEXT($E$4,"yyyy")</f>
        <v>BẢNG THANH TOÁN LƯƠNG THÁNG 09 / 2011</v>
      </c>
      <c r="E1" s="257"/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8"/>
      <c r="R1" s="264" t="s">
        <v>185</v>
      </c>
      <c r="S1" s="265"/>
      <c r="T1" s="26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-9'!$E$4</f>
        <v>40787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59" t="s">
        <v>19</v>
      </c>
      <c r="B5" s="259" t="s">
        <v>20</v>
      </c>
      <c r="C5" s="224" t="s">
        <v>1</v>
      </c>
      <c r="D5" s="224" t="s">
        <v>2</v>
      </c>
      <c r="E5" s="227" t="s">
        <v>56</v>
      </c>
      <c r="F5" s="269" t="s">
        <v>26</v>
      </c>
      <c r="G5" s="271"/>
      <c r="H5" s="271"/>
      <c r="I5" s="271"/>
      <c r="J5" s="271"/>
      <c r="K5" s="270"/>
      <c r="L5" s="261" t="s">
        <v>57</v>
      </c>
      <c r="M5" s="261" t="s">
        <v>5</v>
      </c>
      <c r="N5" s="224" t="s">
        <v>6</v>
      </c>
      <c r="O5" s="224"/>
      <c r="P5" s="224"/>
      <c r="Q5" s="261" t="s">
        <v>7</v>
      </c>
      <c r="R5" s="261" t="s">
        <v>8</v>
      </c>
      <c r="S5" s="261" t="s">
        <v>9</v>
      </c>
      <c r="T5" s="225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60"/>
      <c r="B6" s="260"/>
      <c r="C6" s="224"/>
      <c r="D6" s="224"/>
      <c r="E6" s="227"/>
      <c r="F6" s="269" t="s">
        <v>59</v>
      </c>
      <c r="G6" s="270"/>
      <c r="H6" s="269" t="s">
        <v>158</v>
      </c>
      <c r="I6" s="271"/>
      <c r="J6" s="272" t="s">
        <v>27</v>
      </c>
      <c r="K6" s="261" t="s">
        <v>4</v>
      </c>
      <c r="L6" s="262"/>
      <c r="M6" s="262"/>
      <c r="N6" s="267" t="s">
        <v>12</v>
      </c>
      <c r="O6" s="261" t="s">
        <v>13</v>
      </c>
      <c r="P6" s="261" t="s">
        <v>34</v>
      </c>
      <c r="Q6" s="262"/>
      <c r="R6" s="262"/>
      <c r="S6" s="262"/>
      <c r="T6" s="226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60"/>
      <c r="B7" s="260"/>
      <c r="C7" s="261"/>
      <c r="D7" s="261"/>
      <c r="E7" s="227"/>
      <c r="F7" s="202" t="s">
        <v>40</v>
      </c>
      <c r="G7" s="200" t="s">
        <v>18</v>
      </c>
      <c r="H7" s="202" t="s">
        <v>40</v>
      </c>
      <c r="I7" s="128" t="s">
        <v>18</v>
      </c>
      <c r="J7" s="273"/>
      <c r="K7" s="262"/>
      <c r="L7" s="263"/>
      <c r="M7" s="263"/>
      <c r="N7" s="268"/>
      <c r="O7" s="262"/>
      <c r="P7" s="262"/>
      <c r="Q7" s="262"/>
      <c r="R7" s="262"/>
      <c r="S7" s="262"/>
      <c r="T7" s="226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2500000</v>
      </c>
      <c r="F10" s="92">
        <f>VLOOKUP(B10,'CC -9'!$B$8:$AS$21,36,0)</f>
        <v>25</v>
      </c>
      <c r="G10" s="145">
        <f t="shared" ref="G10:G12" si="3">ROUND(E10/$U$2*F10,0)</f>
        <v>2500000</v>
      </c>
      <c r="H10" s="92">
        <f>(VLOOKUP(B10,'CC -9'!$B$8:$AS$21,37,0)+VLOOKUP(B10,'CC -9'!$B$8:$AS$21,38,0))</f>
        <v>0</v>
      </c>
      <c r="I10" s="145">
        <f t="shared" ref="I10:I12" si="4">ROUND(E10/$U$2*H10,0)</f>
        <v>0</v>
      </c>
      <c r="J10" s="93">
        <f t="shared" ref="J10:K12" si="5">F10+H10</f>
        <v>25</v>
      </c>
      <c r="K10" s="39">
        <f>G10+I10</f>
        <v>2500000</v>
      </c>
      <c r="L10" s="90">
        <f t="shared" ref="L10:L12" si="6">+F10*15000</f>
        <v>375000</v>
      </c>
      <c r="M10" s="40">
        <f t="shared" ref="M10:M12" si="7">K10+L10</f>
        <v>2875000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2875000</v>
      </c>
      <c r="R10" s="39">
        <f>VLOOKUP(B10,DS,23,0)</f>
        <v>0</v>
      </c>
      <c r="S10" s="45">
        <f t="shared" ref="S10:S12" si="9">Q10-R10</f>
        <v>2875000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2000000</v>
      </c>
      <c r="F11" s="92">
        <f>VLOOKUP(B11,'CC -9'!$B$8:$AS$21,36,0)</f>
        <v>25</v>
      </c>
      <c r="G11" s="145">
        <f t="shared" si="3"/>
        <v>2000000</v>
      </c>
      <c r="H11" s="92">
        <f>(VLOOKUP(B11,'CC -9'!$B$8:$AS$21,37,0)+VLOOKUP(B11,'CC -9'!$B$8:$AS$21,38,0))</f>
        <v>0</v>
      </c>
      <c r="I11" s="145">
        <f t="shared" si="4"/>
        <v>0</v>
      </c>
      <c r="J11" s="93">
        <f t="shared" si="5"/>
        <v>25</v>
      </c>
      <c r="K11" s="39">
        <f t="shared" si="5"/>
        <v>2000000</v>
      </c>
      <c r="L11" s="90">
        <f t="shared" si="6"/>
        <v>375000</v>
      </c>
      <c r="M11" s="40">
        <f t="shared" si="7"/>
        <v>2375000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2375000</v>
      </c>
      <c r="R11" s="39">
        <f>VLOOKUP(B11,DS,23,0)</f>
        <v>0</v>
      </c>
      <c r="S11" s="45">
        <f t="shared" si="9"/>
        <v>2375000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2000000</v>
      </c>
      <c r="F12" s="92">
        <f>VLOOKUP(B12,'CC -9'!$B$8:$AS$21,36,0)</f>
        <v>25</v>
      </c>
      <c r="G12" s="145">
        <f t="shared" si="3"/>
        <v>2000000</v>
      </c>
      <c r="H12" s="92">
        <f>(VLOOKUP(B12,'CC -9'!$B$8:$AS$21,37,0)+VLOOKUP(B12,'CC -9'!$B$8:$AS$21,38,0))</f>
        <v>0</v>
      </c>
      <c r="I12" s="145">
        <f t="shared" si="4"/>
        <v>0</v>
      </c>
      <c r="J12" s="93">
        <f t="shared" si="5"/>
        <v>25</v>
      </c>
      <c r="K12" s="39">
        <f t="shared" si="5"/>
        <v>2000000</v>
      </c>
      <c r="L12" s="90">
        <f t="shared" si="6"/>
        <v>375000</v>
      </c>
      <c r="M12" s="40">
        <f t="shared" si="7"/>
        <v>2375000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2375000</v>
      </c>
      <c r="R12" s="39">
        <f>VLOOKUP(B12,DS,23,0)</f>
        <v>0</v>
      </c>
      <c r="S12" s="45">
        <f t="shared" si="9"/>
        <v>2375000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56" t="s">
        <v>25</v>
      </c>
      <c r="B14" s="256"/>
      <c r="C14" s="256"/>
      <c r="D14" s="256"/>
      <c r="E14" s="140">
        <f>SUM(E9:E12)</f>
        <v>6500000</v>
      </c>
      <c r="F14" s="140"/>
      <c r="G14" s="140">
        <f>SUM(G9:G12)</f>
        <v>6500000</v>
      </c>
      <c r="H14" s="140"/>
      <c r="I14" s="140">
        <f>SUM(I9:I12)</f>
        <v>0</v>
      </c>
      <c r="J14" s="140"/>
      <c r="K14" s="140">
        <f t="shared" ref="K14:S14" si="10">SUM(K9:K12)</f>
        <v>6500000</v>
      </c>
      <c r="L14" s="140">
        <f t="shared" si="10"/>
        <v>1125000</v>
      </c>
      <c r="M14" s="140">
        <f t="shared" si="10"/>
        <v>7625000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7625000</v>
      </c>
      <c r="R14" s="140">
        <f t="shared" si="10"/>
        <v>0</v>
      </c>
      <c r="S14" s="140">
        <f t="shared" si="10"/>
        <v>7625000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-9'!$B$8:$AS$21,36,0)</f>
        <v>25</v>
      </c>
      <c r="G16" s="145">
        <f t="shared" ref="G16:G18" si="14">ROUND(E16/$U$2*F16,0)</f>
        <v>1800000</v>
      </c>
      <c r="H16" s="92">
        <f>(VLOOKUP(B16,'CC -9'!$B$8:$AS$21,37,0)+VLOOKUP(B16,'CC -9'!$B$8:$AS$21,38,0))</f>
        <v>0</v>
      </c>
      <c r="I16" s="145">
        <f t="shared" ref="I16:I18" si="15">ROUND(E16/$U$2*H16,0)</f>
        <v>0</v>
      </c>
      <c r="J16" s="146">
        <f t="shared" ref="J16:K18" si="16">F16+H16</f>
        <v>25</v>
      </c>
      <c r="K16" s="39">
        <f t="shared" si="16"/>
        <v>1800000</v>
      </c>
      <c r="L16" s="90">
        <f t="shared" ref="L16:L18" si="17">+F16*15000</f>
        <v>375000</v>
      </c>
      <c r="M16" s="40">
        <f t="shared" ref="M16:M18" si="18">K16+L16</f>
        <v>2175000</v>
      </c>
      <c r="N16" s="40">
        <f>IF(VLOOKUP(B16,DS,9,0)="x",'L - 9'!E16*$N$4,0)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2175000</v>
      </c>
      <c r="R16" s="39">
        <f t="shared" ref="R16:R18" si="21">VLOOKUP(B16,DS,23,0)</f>
        <v>0</v>
      </c>
      <c r="S16" s="45">
        <f>Q16-R16</f>
        <v>2175000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-9'!$B$8:$AS$21,36,0)</f>
        <v>25</v>
      </c>
      <c r="G17" s="145">
        <f t="shared" si="14"/>
        <v>1800000</v>
      </c>
      <c r="H17" s="92">
        <f>(VLOOKUP(B17,'CC -9'!$B$8:$AS$21,37,0)+VLOOKUP(B17,'CC -9'!$B$8:$AS$21,38,0))</f>
        <v>0</v>
      </c>
      <c r="I17" s="145">
        <f t="shared" si="15"/>
        <v>0</v>
      </c>
      <c r="J17" s="146">
        <f t="shared" si="16"/>
        <v>25</v>
      </c>
      <c r="K17" s="39">
        <f t="shared" si="16"/>
        <v>1800000</v>
      </c>
      <c r="L17" s="90">
        <f t="shared" si="17"/>
        <v>375000</v>
      </c>
      <c r="M17" s="40">
        <f t="shared" si="18"/>
        <v>2175000</v>
      </c>
      <c r="N17" s="40">
        <f>IF(VLOOKUP(B17,DS,9,0)="x",'L - 9'!E17*$N$4,0)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2175000</v>
      </c>
      <c r="R17" s="39">
        <f t="shared" si="21"/>
        <v>0</v>
      </c>
      <c r="S17" s="45">
        <f t="shared" ref="S17:S18" si="23">Q17-R17</f>
        <v>2175000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-9'!$B$8:$AS$21,36,0)</f>
        <v>25</v>
      </c>
      <c r="G18" s="145">
        <f t="shared" si="14"/>
        <v>1500000</v>
      </c>
      <c r="H18" s="92">
        <f>(VLOOKUP(B18,'CC -9'!$B$8:$AS$21,37,0)+VLOOKUP(B18,'CC -9'!$B$8:$AS$21,38,0))</f>
        <v>0</v>
      </c>
      <c r="I18" s="145">
        <f t="shared" si="15"/>
        <v>0</v>
      </c>
      <c r="J18" s="146">
        <f t="shared" si="16"/>
        <v>25</v>
      </c>
      <c r="K18" s="39">
        <f t="shared" si="16"/>
        <v>1500000</v>
      </c>
      <c r="L18" s="90">
        <f t="shared" si="17"/>
        <v>375000</v>
      </c>
      <c r="M18" s="40">
        <f t="shared" si="18"/>
        <v>1875000</v>
      </c>
      <c r="N18" s="40">
        <f>IF(VLOOKUP(B18,DS,9,0)="x",'L - 9'!E18*$N$4,0)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1875000</v>
      </c>
      <c r="R18" s="39">
        <f t="shared" si="21"/>
        <v>0</v>
      </c>
      <c r="S18" s="45">
        <f t="shared" si="23"/>
        <v>1875000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56" t="s">
        <v>25</v>
      </c>
      <c r="B20" s="256"/>
      <c r="C20" s="256"/>
      <c r="D20" s="256"/>
      <c r="E20" s="140">
        <f>SUM(E15:E19)</f>
        <v>5100000</v>
      </c>
      <c r="F20" s="140"/>
      <c r="G20" s="140">
        <f t="shared" ref="G20:S20" si="24">SUM(G15:G19)</f>
        <v>5100000</v>
      </c>
      <c r="H20" s="140"/>
      <c r="I20" s="140">
        <f t="shared" si="24"/>
        <v>0</v>
      </c>
      <c r="J20" s="140"/>
      <c r="K20" s="140">
        <f t="shared" si="24"/>
        <v>5100000</v>
      </c>
      <c r="L20" s="140">
        <f t="shared" si="24"/>
        <v>1125000</v>
      </c>
      <c r="M20" s="140">
        <f t="shared" si="24"/>
        <v>6225000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6225000</v>
      </c>
      <c r="R20" s="140">
        <f t="shared" si="24"/>
        <v>0</v>
      </c>
      <c r="S20" s="140">
        <f t="shared" si="24"/>
        <v>6225000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09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O6:O7"/>
    <mergeCell ref="P6:P7"/>
    <mergeCell ref="A14:D14"/>
    <mergeCell ref="A20:D20"/>
    <mergeCell ref="N5:P5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TH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DS</vt:lpstr>
      <vt:lpstr>'CC - 8'!Print_Area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2016-04-19T05:27:53Z</cp:lastPrinted>
  <dcterms:created xsi:type="dcterms:W3CDTF">2011-06-27T04:19:15Z</dcterms:created>
  <dcterms:modified xsi:type="dcterms:W3CDTF">2016-05-12T01:47:08Z</dcterms:modified>
</cp:coreProperties>
</file>